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3\21\"/>
    </mc:Choice>
  </mc:AlternateContent>
  <xr:revisionPtr revIDLastSave="0" documentId="13_ncr:1_{67A7D1E1-6949-41FF-B107-2D31B2E4FC1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1" i="4" l="1"/>
  <c r="AC54" i="4"/>
  <c r="AC50" i="4"/>
  <c r="AC45" i="4"/>
  <c r="AC38" i="4"/>
  <c r="AC37" i="4" s="1"/>
  <c r="AC31" i="4"/>
  <c r="AC29" i="4"/>
  <c r="AC27" i="4"/>
  <c r="AC24" i="4"/>
  <c r="AC23" i="4" s="1"/>
  <c r="AC17" i="4"/>
  <c r="AC9" i="4"/>
  <c r="V28" i="4"/>
  <c r="V26" i="4"/>
  <c r="V18" i="4"/>
  <c r="AB54" i="4"/>
  <c r="AA54" i="4"/>
  <c r="Z54" i="4"/>
  <c r="X54" i="4"/>
  <c r="W54" i="4"/>
  <c r="V54" i="4"/>
  <c r="U54" i="4"/>
  <c r="AD54" i="4"/>
  <c r="AC22" i="4" l="1"/>
  <c r="AC7" i="4" s="1"/>
  <c r="AC8" i="4" s="1"/>
  <c r="AF10" i="4" l="1"/>
  <c r="AB28" i="4"/>
  <c r="AB26" i="4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D50" i="4" l="1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Y18" i="4"/>
  <c r="Y20" i="4"/>
  <c r="Y19" i="4"/>
  <c r="AQ19" i="4" s="1"/>
  <c r="Y16" i="4"/>
  <c r="Y15" i="4"/>
  <c r="Y14" i="4"/>
  <c r="Y13" i="4"/>
  <c r="AP13" i="4" s="1"/>
  <c r="Y12" i="4"/>
  <c r="Y11" i="4"/>
  <c r="AP12" i="4" l="1"/>
  <c r="AQ12" i="4"/>
  <c r="AA28" i="4"/>
  <c r="AA26" i="4"/>
  <c r="U10" i="4" l="1"/>
  <c r="T50" i="4"/>
  <c r="S50" i="4"/>
  <c r="T17" i="4"/>
  <c r="T9" i="4" s="1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S22" i="4" l="1"/>
  <c r="T22" i="4"/>
  <c r="T7" i="4" s="1"/>
  <c r="T8" i="4" s="1"/>
  <c r="S7" i="4"/>
  <c r="S8" i="4" s="1"/>
  <c r="AG52" i="4" l="1"/>
  <c r="AG53" i="4"/>
  <c r="AF52" i="4"/>
  <c r="AF35" i="4"/>
  <c r="AQ35" i="4" s="1"/>
  <c r="AF33" i="4"/>
  <c r="Y52" i="4"/>
  <c r="Y53" i="4"/>
  <c r="Y51" i="4"/>
  <c r="AQ51" i="4" s="1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3" i="4" l="1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AO47" i="4" s="1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AQ59" i="4" s="1"/>
  <c r="Y59" i="4"/>
  <c r="U59" i="4"/>
  <c r="R59" i="4"/>
  <c r="P59" i="4"/>
  <c r="K59" i="4"/>
  <c r="AT58" i="4"/>
  <c r="AM58" i="4"/>
  <c r="AG58" i="4"/>
  <c r="AF58" i="4"/>
  <c r="AQ58" i="4" s="1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R18" i="4"/>
  <c r="R17" i="4" s="1"/>
  <c r="P18" i="4"/>
  <c r="M18" i="4"/>
  <c r="K18" i="4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K17" i="4" l="1"/>
  <c r="U17" i="4"/>
  <c r="AQ56" i="4"/>
  <c r="AO55" i="4"/>
  <c r="AF54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J63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J48" i="4"/>
  <c r="AT51" i="4"/>
  <c r="AT50" i="4" s="1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45" i="4" l="1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AA63" i="4"/>
  <c r="P8" i="4"/>
  <c r="V3" i="4"/>
  <c r="W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/>
</calcChain>
</file>

<file path=xl/sharedStrings.xml><?xml version="1.0" encoding="utf-8"?>
<sst xmlns="http://schemas.openxmlformats.org/spreadsheetml/2006/main" count="133" uniqueCount="109">
  <si>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</si>
  <si>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</si>
  <si>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</si>
  <si>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</si>
  <si>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</si>
  <si>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</si>
  <si>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</si>
  <si>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</si>
  <si>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</si>
  <si>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</si>
  <si>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</si>
  <si>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</si>
  <si>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</si>
  <si>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</si>
  <si>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</si>
  <si>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</si>
  <si>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</si>
  <si>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</si>
  <si>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</si>
  <si>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</si>
  <si>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</si>
  <si>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</si>
  <si>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</si>
  <si>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</si>
  <si>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</si>
  <si>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</si>
  <si>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</si>
  <si>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</si>
  <si>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</si>
  <si>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</si>
  <si>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</si>
  <si>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</si>
  <si>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</si>
  <si>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</si>
  <si>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</si>
  <si>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</si>
  <si>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</si>
  <si>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</si>
  <si>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</si>
  <si>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</si>
  <si>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</si>
  <si>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</si>
  <si>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</si>
  <si>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</si>
  <si>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</si>
  <si>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</si>
  <si>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</si>
  <si>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</si>
  <si>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</si>
  <si>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</si>
  <si>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</si>
  <si>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</si>
  <si>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</si>
  <si>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</si>
  <si>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</si>
  <si>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</si>
  <si>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</si>
  <si>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</si>
  <si>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</si>
  <si>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</si>
  <si>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</si>
  <si>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</si>
  <si>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</si>
  <si>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</si>
  <si>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</si>
  <si>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</si>
  <si>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</si>
  <si>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</si>
  <si>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</si>
  <si>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</si>
  <si>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</si>
  <si>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</si>
  <si>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</si>
  <si>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</si>
  <si>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</si>
  <si>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</si>
  <si>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</si>
  <si>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</si>
  <si>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</si>
  <si>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</si>
  <si>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</si>
  <si>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</si>
  <si>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</si>
  <si>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</si>
  <si>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</si>
  <si>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</si>
  <si>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</si>
  <si>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</si>
  <si>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</si>
  <si>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</si>
  <si>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</si>
  <si>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</si>
  <si>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</si>
  <si>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</si>
  <si>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</si>
  <si>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</si>
  <si>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</si>
  <si>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</si>
  <si>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</si>
  <si>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на 3 месяца 2024 года</t>
  </si>
  <si>
    <t>откл.+- от плана за 3 месяца 2024 года</t>
  </si>
  <si>
    <t>Исполнение с 01.01.2024 по 07.03.2024
(53,08%)</t>
  </si>
  <si>
    <t>Исполнение бюджета Благодарненского муниципального округа Ставропольского края по доходам по состоянию на 21.03.2024 года</t>
  </si>
  <si>
    <t>Исполнено с 01.01.2023 по 21.03.2023 год</t>
  </si>
  <si>
    <r>
      <t>Исполнено с 01.01.2023 года по 21.03.2023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</si>
  <si>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11.03.2024 по 14.03.2024 (неделя) П</t>
  </si>
  <si>
    <t>с 15.03.2024 по 21.03.2024 (неделя) Т</t>
  </si>
  <si>
    <r>
      <t xml:space="preserve">Исполнение с 01.01.2024 по 21.03.2024
</t>
    </r>
    <r>
      <rPr>
        <b/>
        <sz val="14"/>
        <rFont val="Times New Roman"/>
        <family val="1"/>
        <charset val="204"/>
      </rPr>
      <t>(53,08%)</t>
    </r>
  </si>
  <si>
    <t>откл.+- от исполнения на 21.03.2023 г  (в сопоставимых условиях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</si>
</sst>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2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F60" sqref="AF60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3.7109375" style="1" customWidth="1"/>
    <col min="22" max="22" width="25.42578125" style="1" hidden="1" customWidth="1"/>
    <col min="23" max="23" width="21.7109375" style="1" hidden="1" customWidth="1"/>
    <col min="24" max="24" width="22.710937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5" style="1" hidden="1" customWidth="1"/>
    <col min="32" max="32" width="24.570312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17" t="s">
        <v>102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9.4161372484903936</v>
      </c>
      <c r="U3" s="104"/>
      <c r="V3" s="106">
        <f>V8/S8%</f>
        <v>10.851569869390802</v>
      </c>
      <c r="W3" s="106"/>
      <c r="X3" s="105"/>
      <c r="Y3" s="80"/>
      <c r="Z3" s="80">
        <f>U3-Y63</f>
        <v>-494490067.19483662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18" t="s">
        <v>34</v>
      </c>
      <c r="J4" s="119" t="s">
        <v>45</v>
      </c>
      <c r="K4" s="119" t="s">
        <v>51</v>
      </c>
      <c r="L4" s="120" t="s">
        <v>56</v>
      </c>
      <c r="M4" s="119" t="s">
        <v>54</v>
      </c>
      <c r="N4" s="119" t="s">
        <v>53</v>
      </c>
      <c r="O4" s="120" t="s">
        <v>50</v>
      </c>
      <c r="P4" s="119" t="s">
        <v>63</v>
      </c>
      <c r="Q4" s="120" t="s">
        <v>65</v>
      </c>
      <c r="R4" s="119" t="s">
        <v>64</v>
      </c>
      <c r="S4" s="126" t="s">
        <v>83</v>
      </c>
      <c r="T4" s="120" t="s">
        <v>82</v>
      </c>
      <c r="U4" s="119" t="s">
        <v>84</v>
      </c>
      <c r="V4" s="120" t="s">
        <v>103</v>
      </c>
      <c r="W4" s="121" t="s">
        <v>76</v>
      </c>
      <c r="X4" s="136" t="s">
        <v>81</v>
      </c>
      <c r="Y4" s="119" t="s">
        <v>104</v>
      </c>
      <c r="Z4" s="128" t="s">
        <v>66</v>
      </c>
      <c r="AA4" s="130" t="s">
        <v>97</v>
      </c>
      <c r="AB4" s="131"/>
      <c r="AC4" s="127" t="s">
        <v>57</v>
      </c>
      <c r="AD4" s="127"/>
      <c r="AE4" s="132" t="s">
        <v>101</v>
      </c>
      <c r="AF4" s="119" t="s">
        <v>107</v>
      </c>
      <c r="AG4" s="124" t="s">
        <v>43</v>
      </c>
      <c r="AH4" s="126" t="s">
        <v>67</v>
      </c>
      <c r="AI4" s="126"/>
      <c r="AJ4" s="127" t="s">
        <v>96</v>
      </c>
      <c r="AK4" s="127"/>
      <c r="AL4" s="127" t="s">
        <v>52</v>
      </c>
      <c r="AM4" s="127"/>
      <c r="AN4" s="127" t="s">
        <v>100</v>
      </c>
      <c r="AO4" s="127"/>
      <c r="AP4" s="127" t="s">
        <v>108</v>
      </c>
      <c r="AQ4" s="127"/>
      <c r="AR4" s="127" t="s">
        <v>55</v>
      </c>
      <c r="AS4" s="127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18"/>
      <c r="J5" s="119"/>
      <c r="K5" s="119"/>
      <c r="L5" s="120"/>
      <c r="M5" s="119"/>
      <c r="N5" s="119"/>
      <c r="O5" s="120"/>
      <c r="P5" s="119"/>
      <c r="Q5" s="120"/>
      <c r="R5" s="119"/>
      <c r="S5" s="126"/>
      <c r="T5" s="120"/>
      <c r="U5" s="119"/>
      <c r="V5" s="120"/>
      <c r="W5" s="122"/>
      <c r="X5" s="136"/>
      <c r="Y5" s="119"/>
      <c r="Z5" s="129"/>
      <c r="AA5" s="41" t="s">
        <v>68</v>
      </c>
      <c r="AB5" s="107" t="s">
        <v>99</v>
      </c>
      <c r="AC5" s="79" t="s">
        <v>105</v>
      </c>
      <c r="AD5" s="79" t="s">
        <v>106</v>
      </c>
      <c r="AE5" s="133"/>
      <c r="AF5" s="119"/>
      <c r="AG5" s="125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34" t="s">
        <v>8</v>
      </c>
      <c r="C7" s="134"/>
      <c r="D7" s="134"/>
      <c r="E7" s="134"/>
      <c r="F7" s="134"/>
      <c r="G7" s="134"/>
      <c r="H7" s="134"/>
      <c r="I7" s="134"/>
      <c r="J7" s="44">
        <f t="shared" ref="J7:P7" si="0">J10+J11+J13+J14+J15+J16+J17+J20+J23+J36+J37+J45+J48+J50+J12</f>
        <v>360649780.94999993</v>
      </c>
      <c r="K7" s="44">
        <f t="shared" si="0"/>
        <v>345047273.09513432</v>
      </c>
      <c r="L7" s="44">
        <f t="shared" si="0"/>
        <v>126453042.85999998</v>
      </c>
      <c r="M7" s="44">
        <f t="shared" si="0"/>
        <v>120880904.94554318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51928240.040000007</v>
      </c>
      <c r="W7" s="44">
        <f>V7/S7%</f>
        <v>12.670478778217131</v>
      </c>
      <c r="X7" s="44">
        <f>X9+X22</f>
        <v>0</v>
      </c>
      <c r="Y7" s="44">
        <f>Y9+Y22</f>
        <v>65772368.234836683</v>
      </c>
      <c r="Z7" s="44">
        <f t="shared" ref="Z7:AF7" si="2">Z9+Z22</f>
        <v>400415099.64999998</v>
      </c>
      <c r="AA7" s="44">
        <f t="shared" si="2"/>
        <v>577574635.84000003</v>
      </c>
      <c r="AB7" s="44">
        <f t="shared" si="2"/>
        <v>126380052.81</v>
      </c>
      <c r="AC7" s="44">
        <f t="shared" ref="AC7:AD7" si="3">AC9+AC22</f>
        <v>5186600.0599999996</v>
      </c>
      <c r="AD7" s="44">
        <f t="shared" si="3"/>
        <v>1430425.28</v>
      </c>
      <c r="AE7" s="44">
        <v>86677921.239999995</v>
      </c>
      <c r="AF7" s="44">
        <f t="shared" si="2"/>
        <v>88108346.519999996</v>
      </c>
      <c r="AG7" s="44">
        <f>AD7-AC7</f>
        <v>-3756174.7799999993</v>
      </c>
      <c r="AH7" s="44">
        <f t="shared" ref="AH7:AH63" si="4">AF7-Z7</f>
        <v>-312306753.13</v>
      </c>
      <c r="AI7" s="44">
        <f t="shared" ref="AI7:AI28" si="5">AF7/Z7*100</f>
        <v>22.004251737013636</v>
      </c>
      <c r="AJ7" s="44">
        <f>AF7-AA7</f>
        <v>-489466289.32000005</v>
      </c>
      <c r="AK7" s="44">
        <f>AF7/AA7%</f>
        <v>15.254885005789591</v>
      </c>
      <c r="AL7" s="44" t="e">
        <f>AF7-#REF!</f>
        <v>#REF!</v>
      </c>
      <c r="AM7" s="44" t="e">
        <f>IF(#REF!=0,0,AF7/#REF!*100)</f>
        <v>#REF!</v>
      </c>
      <c r="AN7" s="44">
        <f>AF7-AB7</f>
        <v>-38271706.290000007</v>
      </c>
      <c r="AO7" s="44">
        <f>AF7/AB7*100</f>
        <v>69.716972386822974</v>
      </c>
      <c r="AP7" s="44">
        <f>AF7-Y7</f>
        <v>22335978.285163313</v>
      </c>
      <c r="AQ7" s="44">
        <f>AF7/Y7%</f>
        <v>133.95951656387666</v>
      </c>
      <c r="AR7" s="44">
        <f>AF7-M7</f>
        <v>-32772558.425543189</v>
      </c>
      <c r="AS7" s="44">
        <f>IF(M7=0,0,AF7/M7*100)</f>
        <v>72.888556351967068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40159602.400000006</v>
      </c>
      <c r="W8" s="44">
        <f t="shared" ref="W8:W9" si="7">V8/S8%</f>
        <v>10.851569869390802</v>
      </c>
      <c r="X8" s="52">
        <f t="shared" ref="X8:AB8" si="8">X7-X37-X53</f>
        <v>0</v>
      </c>
      <c r="Y8" s="52">
        <f t="shared" si="8"/>
        <v>54003730.594836682</v>
      </c>
      <c r="Z8" s="52">
        <f t="shared" si="8"/>
        <v>372608810</v>
      </c>
      <c r="AA8" s="52">
        <f t="shared" si="8"/>
        <v>545150607.50999999</v>
      </c>
      <c r="AB8" s="52">
        <f t="shared" si="8"/>
        <v>114521193.66000001</v>
      </c>
      <c r="AC8" s="52">
        <f t="shared" ref="AC8:AD8" si="9">AC7-AC37-AC53</f>
        <v>3708799.8199999994</v>
      </c>
      <c r="AD8" s="52">
        <f t="shared" si="9"/>
        <v>460361.07</v>
      </c>
      <c r="AE8" s="52">
        <v>76397062.419999987</v>
      </c>
      <c r="AF8" s="52">
        <f>AF7-AF37-AF53</f>
        <v>76857423.489999995</v>
      </c>
      <c r="AG8" s="51">
        <f t="shared" ref="AG8:AG63" si="10">AD8-AC8</f>
        <v>-3248438.7499999995</v>
      </c>
      <c r="AH8" s="64">
        <f t="shared" si="4"/>
        <v>-295751386.50999999</v>
      </c>
      <c r="AI8" s="64">
        <f t="shared" si="5"/>
        <v>20.626840114166917</v>
      </c>
      <c r="AJ8" s="51">
        <f t="shared" ref="AJ8:AJ62" si="11">AF8-AA8</f>
        <v>-468293184.01999998</v>
      </c>
      <c r="AK8" s="51">
        <f>AF8/AA8%</f>
        <v>14.098383534973893</v>
      </c>
      <c r="AL8" s="51"/>
      <c r="AM8" s="51"/>
      <c r="AN8" s="64">
        <f t="shared" ref="AN8:AN63" si="12">AF8-AB8</f>
        <v>-37663770.170000017</v>
      </c>
      <c r="AO8" s="64">
        <f t="shared" ref="AO8:AO63" si="13">AF8/AB8*100</f>
        <v>67.111965072753847</v>
      </c>
      <c r="AP8" s="51">
        <f t="shared" ref="AP8:AP63" si="14">AF8-Y8</f>
        <v>22853692.895163313</v>
      </c>
      <c r="AQ8" s="51">
        <f>AF8/Y8%</f>
        <v>142.31872991631499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69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30448029.740000002</v>
      </c>
      <c r="W9" s="44">
        <f t="shared" si="7"/>
        <v>9.4161372484903936</v>
      </c>
      <c r="X9" s="70">
        <f t="shared" si="16"/>
        <v>0</v>
      </c>
      <c r="Y9" s="70">
        <f>Y10+Y11+Y12+Y13+Y14+Y15+Y16+Y17+Y20+Y21</f>
        <v>44292157.934836678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104075030.84</v>
      </c>
      <c r="AC9" s="70">
        <f t="shared" ref="AC9:AD9" si="17">AC10+AC11+AC12+AC13+AC14+AC15+AC16+AC17+AC20+AC21</f>
        <v>2254691.8699999996</v>
      </c>
      <c r="AD9" s="70">
        <f t="shared" si="17"/>
        <v>-23816.000000000029</v>
      </c>
      <c r="AE9" s="70">
        <v>67404973.269999996</v>
      </c>
      <c r="AF9" s="70">
        <f>AF10+AF11+AF12+AF13+AF14+AF15+AF16+AF17+AF20+AF21</f>
        <v>67381157.269999996</v>
      </c>
      <c r="AG9" s="71">
        <f t="shared" si="10"/>
        <v>-2278507.8699999996</v>
      </c>
      <c r="AH9" s="72"/>
      <c r="AI9" s="72"/>
      <c r="AJ9" s="71">
        <f t="shared" si="11"/>
        <v>-426509180.24000001</v>
      </c>
      <c r="AK9" s="71">
        <f>AF9/AA9%</f>
        <v>13.642938958820126</v>
      </c>
      <c r="AL9" s="73"/>
      <c r="AM9" s="73"/>
      <c r="AN9" s="72">
        <f t="shared" si="12"/>
        <v>-36693873.570000008</v>
      </c>
      <c r="AO9" s="72">
        <f t="shared" si="13"/>
        <v>64.742865532837143</v>
      </c>
      <c r="AP9" s="71">
        <f t="shared" si="14"/>
        <v>23088999.335163318</v>
      </c>
      <c r="AQ9" s="71">
        <f>AF9/Y9%</f>
        <v>152.12886527030861</v>
      </c>
      <c r="AR9" s="23"/>
      <c r="AS9" s="23"/>
      <c r="AT9" s="49"/>
    </row>
    <row r="10" spans="1:47" s="10" customFormat="1" ht="91.5" hidden="1" customHeight="1" x14ac:dyDescent="0.3">
      <c r="A10" s="9"/>
      <c r="B10" s="135" t="s">
        <v>26</v>
      </c>
      <c r="C10" s="135"/>
      <c r="D10" s="135"/>
      <c r="E10" s="135"/>
      <c r="F10" s="135"/>
      <c r="G10" s="135"/>
      <c r="H10" s="135"/>
      <c r="I10" s="135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20753156.390000001</v>
      </c>
      <c r="W10" s="12"/>
      <c r="X10" s="46"/>
      <c r="Y10" s="47">
        <f>V10/31.84%*53.08%</f>
        <v>34597284.584836684</v>
      </c>
      <c r="Z10" s="46">
        <v>188231000</v>
      </c>
      <c r="AA10" s="46">
        <v>340259137.50999999</v>
      </c>
      <c r="AB10" s="46">
        <v>74184885.840000004</v>
      </c>
      <c r="AC10" s="46">
        <v>1877212.3</v>
      </c>
      <c r="AD10" s="46">
        <v>-751312.86</v>
      </c>
      <c r="AE10" s="46">
        <v>50209014.789999999</v>
      </c>
      <c r="AF10" s="46">
        <f>AE10+AD10</f>
        <v>49457701.93</v>
      </c>
      <c r="AG10" s="46">
        <f t="shared" si="10"/>
        <v>-2628525.16</v>
      </c>
      <c r="AH10" s="44">
        <f t="shared" si="4"/>
        <v>-138773298.06999999</v>
      </c>
      <c r="AI10" s="44">
        <f t="shared" si="5"/>
        <v>26.275003548830956</v>
      </c>
      <c r="AJ10" s="46">
        <f t="shared" si="11"/>
        <v>-290801435.57999998</v>
      </c>
      <c r="AK10" s="44">
        <f t="shared" ref="AK10:AK63" si="18">AF10/AA10%</f>
        <v>14.535304559909569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-24727183.910000004</v>
      </c>
      <c r="AO10" s="44">
        <f t="shared" si="13"/>
        <v>66.668164775058173</v>
      </c>
      <c r="AP10" s="46">
        <f t="shared" si="14"/>
        <v>14860417.345163316</v>
      </c>
      <c r="AQ10" s="44">
        <f t="shared" ref="AQ10:AQ19" si="19">AF10/Y10%</f>
        <v>142.95255400383746</v>
      </c>
      <c r="AR10" s="46">
        <f t="shared" ref="AR10:AR20" si="20">AF10-M10</f>
        <v>-9377748.1655432209</v>
      </c>
      <c r="AS10" s="46">
        <f t="shared" ref="AS10:AS20" si="21">IF(M10=0,0,AF10/M10*100)</f>
        <v>84.061058171026744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3" t="s">
        <v>25</v>
      </c>
      <c r="C11" s="123"/>
      <c r="D11" s="123"/>
      <c r="E11" s="123"/>
      <c r="F11" s="123"/>
      <c r="G11" s="123"/>
      <c r="H11" s="123"/>
      <c r="I11" s="123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5309837.24</v>
      </c>
      <c r="W11" s="12"/>
      <c r="X11" s="12"/>
      <c r="Y11" s="12">
        <f t="shared" ref="Y11:Y16" si="22">V11</f>
        <v>5309837.24</v>
      </c>
      <c r="Z11" s="12">
        <v>28603900</v>
      </c>
      <c r="AA11" s="12">
        <v>32294200</v>
      </c>
      <c r="AB11" s="12">
        <v>7763710</v>
      </c>
      <c r="AC11" s="12">
        <v>0</v>
      </c>
      <c r="AD11" s="12">
        <v>0</v>
      </c>
      <c r="AE11" s="12">
        <v>5611791.5</v>
      </c>
      <c r="AF11" s="12">
        <f t="shared" ref="AF11:AF62" si="23">AE11+AD11</f>
        <v>5611791.5</v>
      </c>
      <c r="AG11" s="12">
        <f t="shared" si="10"/>
        <v>0</v>
      </c>
      <c r="AH11" s="44">
        <f t="shared" si="4"/>
        <v>-22992108.5</v>
      </c>
      <c r="AI11" s="44">
        <f t="shared" si="5"/>
        <v>19.618973286859482</v>
      </c>
      <c r="AJ11" s="12">
        <f t="shared" si="11"/>
        <v>-26682408.5</v>
      </c>
      <c r="AK11" s="44">
        <f t="shared" si="18"/>
        <v>17.377087836205881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-2151918.5</v>
      </c>
      <c r="AO11" s="44">
        <f>AF11/AB11*100</f>
        <v>72.282343106581777</v>
      </c>
      <c r="AP11" s="12">
        <f t="shared" si="14"/>
        <v>301954.25999999978</v>
      </c>
      <c r="AQ11" s="44">
        <f t="shared" si="19"/>
        <v>105.686695210266</v>
      </c>
      <c r="AR11" s="12">
        <f t="shared" si="20"/>
        <v>-2282133.6100000003</v>
      </c>
      <c r="AS11" s="12">
        <f t="shared" si="21"/>
        <v>71.090001764660769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4">J12</f>
        <v>0</v>
      </c>
      <c r="L12" s="12">
        <v>0</v>
      </c>
      <c r="M12" s="36">
        <f t="shared" ref="M12" si="25">L12</f>
        <v>0</v>
      </c>
      <c r="N12" s="12">
        <v>8810490.5399999991</v>
      </c>
      <c r="O12" s="12">
        <v>9529840.7599999998</v>
      </c>
      <c r="P12" s="12">
        <f t="shared" ref="P12:P15" si="26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211089.8</v>
      </c>
      <c r="W12" s="12"/>
      <c r="X12" s="12"/>
      <c r="Y12" s="12">
        <f t="shared" si="22"/>
        <v>211089.8</v>
      </c>
      <c r="Z12" s="12">
        <v>11972000</v>
      </c>
      <c r="AA12" s="12">
        <v>27969000</v>
      </c>
      <c r="AB12" s="12">
        <v>2411738</v>
      </c>
      <c r="AC12" s="12">
        <v>-18307.73</v>
      </c>
      <c r="AD12" s="12">
        <v>357793.47</v>
      </c>
      <c r="AE12" s="12">
        <v>102807.58000000006</v>
      </c>
      <c r="AF12" s="12">
        <f t="shared" si="23"/>
        <v>460601.05000000005</v>
      </c>
      <c r="AG12" s="12">
        <f t="shared" si="10"/>
        <v>376101.19999999995</v>
      </c>
      <c r="AH12" s="44">
        <f t="shared" si="4"/>
        <v>-11511398.949999999</v>
      </c>
      <c r="AI12" s="44">
        <f t="shared" si="5"/>
        <v>3.8473191613765461</v>
      </c>
      <c r="AJ12" s="12">
        <f t="shared" si="11"/>
        <v>-27508398.949999999</v>
      </c>
      <c r="AK12" s="44">
        <f t="shared" si="18"/>
        <v>1.6468270227752155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-1951136.95</v>
      </c>
      <c r="AO12" s="44">
        <f t="shared" si="13"/>
        <v>19.098303795851791</v>
      </c>
      <c r="AP12" s="12">
        <f t="shared" si="14"/>
        <v>249511.25000000006</v>
      </c>
      <c r="AQ12" s="44">
        <f t="shared" si="19"/>
        <v>218.20147160118592</v>
      </c>
      <c r="AR12" s="12">
        <f t="shared" si="20"/>
        <v>460601.05000000005</v>
      </c>
      <c r="AS12" s="12">
        <f t="shared" si="21"/>
        <v>0</v>
      </c>
      <c r="AT12" s="34">
        <f>AF12</f>
        <v>460601.05000000005</v>
      </c>
    </row>
    <row r="13" spans="1:47" s="10" customFormat="1" ht="70.5" hidden="1" customHeight="1" x14ac:dyDescent="0.3">
      <c r="A13" s="9"/>
      <c r="B13" s="123" t="s">
        <v>24</v>
      </c>
      <c r="C13" s="123"/>
      <c r="D13" s="123"/>
      <c r="E13" s="123"/>
      <c r="F13" s="123"/>
      <c r="G13" s="123"/>
      <c r="H13" s="123"/>
      <c r="I13" s="123"/>
      <c r="J13" s="12">
        <v>11880184.26</v>
      </c>
      <c r="K13" s="12">
        <f t="shared" si="24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6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7">T13</f>
        <v>-283271.29000000004</v>
      </c>
      <c r="V13" s="12">
        <v>-386109.52</v>
      </c>
      <c r="W13" s="12"/>
      <c r="X13" s="12"/>
      <c r="Y13" s="12">
        <f t="shared" si="22"/>
        <v>-386109.52</v>
      </c>
      <c r="Z13" s="12">
        <v>8000</v>
      </c>
      <c r="AA13" s="12">
        <v>0</v>
      </c>
      <c r="AB13" s="12">
        <v>0</v>
      </c>
      <c r="AC13" s="12">
        <v>0</v>
      </c>
      <c r="AD13" s="12">
        <v>0</v>
      </c>
      <c r="AE13" s="12">
        <v>2304.2400000000002</v>
      </c>
      <c r="AF13" s="12">
        <f t="shared" si="23"/>
        <v>2304.2400000000002</v>
      </c>
      <c r="AG13" s="12">
        <f t="shared" si="10"/>
        <v>0</v>
      </c>
      <c r="AH13" s="44">
        <f t="shared" si="4"/>
        <v>-5695.76</v>
      </c>
      <c r="AI13" s="44">
        <f t="shared" si="5"/>
        <v>28.803000000000001</v>
      </c>
      <c r="AJ13" s="12">
        <f t="shared" si="11"/>
        <v>2304.2400000000002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2304.2400000000002</v>
      </c>
      <c r="AO13" s="44">
        <v>0</v>
      </c>
      <c r="AP13" s="12">
        <f t="shared" si="14"/>
        <v>388413.76</v>
      </c>
      <c r="AQ13" s="116">
        <v>100.6</v>
      </c>
      <c r="AR13" s="12">
        <f t="shared" si="20"/>
        <v>-5412374.6200000001</v>
      </c>
      <c r="AS13" s="12">
        <f t="shared" si="21"/>
        <v>4.255543236409038E-2</v>
      </c>
      <c r="AT13" s="34">
        <f>AF13</f>
        <v>2304.2400000000002</v>
      </c>
      <c r="AU13" s="86" t="s">
        <v>75</v>
      </c>
    </row>
    <row r="14" spans="1:47" s="10" customFormat="1" ht="42.75" hidden="1" customHeight="1" x14ac:dyDescent="0.3">
      <c r="A14" s="9"/>
      <c r="B14" s="123" t="s">
        <v>23</v>
      </c>
      <c r="C14" s="123"/>
      <c r="D14" s="123"/>
      <c r="E14" s="123"/>
      <c r="F14" s="123"/>
      <c r="G14" s="123"/>
      <c r="H14" s="123"/>
      <c r="I14" s="123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300813.58</v>
      </c>
      <c r="W14" s="12"/>
      <c r="X14" s="12"/>
      <c r="Y14" s="12">
        <f t="shared" si="22"/>
        <v>300813.58</v>
      </c>
      <c r="Z14" s="12">
        <v>5814000</v>
      </c>
      <c r="AA14" s="12">
        <v>7692000</v>
      </c>
      <c r="AB14" s="12">
        <v>3813212</v>
      </c>
      <c r="AC14" s="12">
        <v>26291.99</v>
      </c>
      <c r="AD14" s="12">
        <v>6226.13</v>
      </c>
      <c r="AE14" s="12">
        <v>-636800.01</v>
      </c>
      <c r="AF14" s="12">
        <f t="shared" si="23"/>
        <v>-630573.88</v>
      </c>
      <c r="AG14" s="12">
        <f t="shared" si="10"/>
        <v>-20065.86</v>
      </c>
      <c r="AH14" s="44">
        <f t="shared" si="4"/>
        <v>-6444573.8799999999</v>
      </c>
      <c r="AI14" s="44">
        <f t="shared" si="5"/>
        <v>-10.845783969728243</v>
      </c>
      <c r="AJ14" s="12">
        <f t="shared" si="11"/>
        <v>-8322573.8799999999</v>
      </c>
      <c r="AK14" s="44">
        <v>0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-4443785.88</v>
      </c>
      <c r="AO14" s="44">
        <v>0</v>
      </c>
      <c r="AP14" s="12">
        <f t="shared" si="14"/>
        <v>-931387.46</v>
      </c>
      <c r="AQ14" s="116">
        <v>0</v>
      </c>
      <c r="AR14" s="12">
        <f t="shared" si="20"/>
        <v>-4197651.74</v>
      </c>
      <c r="AS14" s="12">
        <f t="shared" si="21"/>
        <v>-17.677603482420203</v>
      </c>
      <c r="AT14" s="34">
        <f>AF14</f>
        <v>-630573.88</v>
      </c>
      <c r="AU14" s="86"/>
    </row>
    <row r="15" spans="1:47" s="10" customFormat="1" ht="99" hidden="1" customHeight="1" x14ac:dyDescent="0.3">
      <c r="A15" s="9"/>
      <c r="B15" s="123" t="s">
        <v>22</v>
      </c>
      <c r="C15" s="123"/>
      <c r="D15" s="123"/>
      <c r="E15" s="123"/>
      <c r="F15" s="123"/>
      <c r="G15" s="123"/>
      <c r="H15" s="123"/>
      <c r="I15" s="123"/>
      <c r="J15" s="12">
        <v>199821.72</v>
      </c>
      <c r="K15" s="12">
        <f t="shared" ref="K15" si="28">J15</f>
        <v>199821.72</v>
      </c>
      <c r="L15" s="12">
        <v>141824.35999999999</v>
      </c>
      <c r="M15" s="12">
        <f t="shared" ref="M15" si="29">L15</f>
        <v>141824.35999999999</v>
      </c>
      <c r="N15" s="12">
        <v>4514274.29</v>
      </c>
      <c r="O15" s="12">
        <v>6011745.4100000001</v>
      </c>
      <c r="P15" s="12">
        <f t="shared" si="26"/>
        <v>6011745.4100000001</v>
      </c>
      <c r="Q15" s="12">
        <v>6011745.4100000001</v>
      </c>
      <c r="R15" s="12">
        <f t="shared" ref="R15" si="30">Q15</f>
        <v>6011745.4100000001</v>
      </c>
      <c r="S15" s="12">
        <v>2368000</v>
      </c>
      <c r="T15" s="12">
        <v>2659940.33</v>
      </c>
      <c r="U15" s="12">
        <f t="shared" si="27"/>
        <v>2659940.33</v>
      </c>
      <c r="V15" s="12">
        <v>-261491.57</v>
      </c>
      <c r="W15" s="12"/>
      <c r="X15" s="12"/>
      <c r="Y15" s="12">
        <f t="shared" si="22"/>
        <v>-261491.57</v>
      </c>
      <c r="Z15" s="12">
        <v>8168000</v>
      </c>
      <c r="AA15" s="12">
        <v>6694000</v>
      </c>
      <c r="AB15" s="12">
        <v>3998544</v>
      </c>
      <c r="AC15" s="12">
        <v>74182.38</v>
      </c>
      <c r="AD15" s="12">
        <v>-18749.57</v>
      </c>
      <c r="AE15" s="12">
        <v>3943071.1999999993</v>
      </c>
      <c r="AF15" s="12">
        <f t="shared" si="23"/>
        <v>3924321.6299999994</v>
      </c>
      <c r="AG15" s="12">
        <f t="shared" si="10"/>
        <v>-92931.950000000012</v>
      </c>
      <c r="AH15" s="44">
        <f t="shared" si="4"/>
        <v>-4243678.370000001</v>
      </c>
      <c r="AI15" s="44">
        <f t="shared" si="5"/>
        <v>48.04507382468168</v>
      </c>
      <c r="AJ15" s="12">
        <f t="shared" si="11"/>
        <v>-2769678.3700000006</v>
      </c>
      <c r="AK15" s="44">
        <f t="shared" si="18"/>
        <v>58.624464146997305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-74222.370000000577</v>
      </c>
      <c r="AO15" s="44">
        <f t="shared" si="13"/>
        <v>98.143765080489288</v>
      </c>
      <c r="AP15" s="12">
        <f t="shared" si="14"/>
        <v>4185813.1999999993</v>
      </c>
      <c r="AQ15" s="116">
        <v>1600.74</v>
      </c>
      <c r="AR15" s="12">
        <f t="shared" si="20"/>
        <v>3782497.2699999996</v>
      </c>
      <c r="AS15" s="12">
        <f t="shared" si="21"/>
        <v>2767.0293241584163</v>
      </c>
      <c r="AT15" s="34">
        <f>AF15</f>
        <v>3924321.6299999994</v>
      </c>
      <c r="AU15" s="86"/>
    </row>
    <row r="16" spans="1:47" s="10" customFormat="1" ht="65.25" hidden="1" customHeight="1" x14ac:dyDescent="0.3">
      <c r="A16" s="9"/>
      <c r="B16" s="123" t="s">
        <v>21</v>
      </c>
      <c r="C16" s="123"/>
      <c r="D16" s="123"/>
      <c r="E16" s="123"/>
      <c r="F16" s="123"/>
      <c r="G16" s="123"/>
      <c r="H16" s="123"/>
      <c r="I16" s="123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-203371.61</v>
      </c>
      <c r="W16" s="12"/>
      <c r="X16" s="12"/>
      <c r="Y16" s="12">
        <f t="shared" si="22"/>
        <v>-203371.61</v>
      </c>
      <c r="Z16" s="12">
        <v>15443000</v>
      </c>
      <c r="AA16" s="12">
        <v>14460000</v>
      </c>
      <c r="AB16" s="12">
        <v>990980</v>
      </c>
      <c r="AC16" s="12">
        <v>53092.92</v>
      </c>
      <c r="AD16" s="12">
        <v>42635.67</v>
      </c>
      <c r="AE16" s="12">
        <v>918055.54</v>
      </c>
      <c r="AF16" s="12">
        <f t="shared" si="23"/>
        <v>960691.21000000008</v>
      </c>
      <c r="AG16" s="12">
        <f t="shared" si="10"/>
        <v>-10457.25</v>
      </c>
      <c r="AH16" s="44">
        <f t="shared" si="4"/>
        <v>-14482308.789999999</v>
      </c>
      <c r="AI16" s="44">
        <f t="shared" si="5"/>
        <v>6.2208846079129705</v>
      </c>
      <c r="AJ16" s="12">
        <f t="shared" si="11"/>
        <v>-13499308.789999999</v>
      </c>
      <c r="AK16" s="44">
        <f t="shared" si="18"/>
        <v>6.6437843015214391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-30288.789999999921</v>
      </c>
      <c r="AO16" s="44">
        <f t="shared" si="13"/>
        <v>96.943551837574944</v>
      </c>
      <c r="AP16" s="12">
        <f t="shared" si="14"/>
        <v>1164062.82</v>
      </c>
      <c r="AQ16" s="116">
        <v>572.38</v>
      </c>
      <c r="AR16" s="12">
        <f t="shared" si="20"/>
        <v>-199987.67999999982</v>
      </c>
      <c r="AS16" s="12">
        <f t="shared" si="21"/>
        <v>82.769766752628726</v>
      </c>
      <c r="AT16" s="34">
        <v>11117000</v>
      </c>
      <c r="AU16" s="86"/>
    </row>
    <row r="17" spans="1:47" s="10" customFormat="1" ht="24" hidden="1" customHeight="1" x14ac:dyDescent="0.3">
      <c r="A17" s="9"/>
      <c r="B17" s="123" t="s">
        <v>19</v>
      </c>
      <c r="C17" s="123"/>
      <c r="D17" s="123"/>
      <c r="E17" s="123"/>
      <c r="F17" s="123"/>
      <c r="G17" s="123"/>
      <c r="H17" s="123"/>
      <c r="I17" s="123"/>
      <c r="J17" s="12">
        <f t="shared" ref="J17:AF17" si="31">J18+J19</f>
        <v>59077329.089999996</v>
      </c>
      <c r="K17" s="12">
        <f t="shared" si="31"/>
        <v>59077329.089999996</v>
      </c>
      <c r="L17" s="12">
        <f t="shared" si="31"/>
        <v>13651268.75</v>
      </c>
      <c r="M17" s="12">
        <f t="shared" si="31"/>
        <v>13651268.75</v>
      </c>
      <c r="N17" s="12">
        <f t="shared" si="31"/>
        <v>57000020</v>
      </c>
      <c r="O17" s="12">
        <f t="shared" si="31"/>
        <v>59153838.839999996</v>
      </c>
      <c r="P17" s="12">
        <f t="shared" si="31"/>
        <v>59153838.839999996</v>
      </c>
      <c r="Q17" s="12">
        <v>59153838.839999996</v>
      </c>
      <c r="R17" s="12">
        <f t="shared" si="31"/>
        <v>59153838.839999996</v>
      </c>
      <c r="S17" s="12">
        <f t="shared" si="31"/>
        <v>54189000</v>
      </c>
      <c r="T17" s="12">
        <f t="shared" si="31"/>
        <v>55922478.88000001</v>
      </c>
      <c r="U17" s="12">
        <f t="shared" ref="U17:X17" si="32">U18+U19</f>
        <v>55922478.88000001</v>
      </c>
      <c r="V17" s="12">
        <f t="shared" si="32"/>
        <v>3622200.31</v>
      </c>
      <c r="W17" s="12"/>
      <c r="X17" s="12">
        <f t="shared" si="32"/>
        <v>0</v>
      </c>
      <c r="Y17" s="12">
        <f>Y18+Y19</f>
        <v>3622200.31</v>
      </c>
      <c r="Z17" s="12">
        <f t="shared" ref="Z17:AB17" si="33">Z18+Z19</f>
        <v>57489000</v>
      </c>
      <c r="AA17" s="12">
        <f t="shared" si="33"/>
        <v>56779000</v>
      </c>
      <c r="AB17" s="12">
        <f t="shared" si="33"/>
        <v>9421532</v>
      </c>
      <c r="AC17" s="12">
        <f t="shared" ref="AC17:AD17" si="34">AC18+AC19</f>
        <v>73878.47</v>
      </c>
      <c r="AD17" s="12">
        <f t="shared" si="34"/>
        <v>162024.58000000002</v>
      </c>
      <c r="AE17" s="12">
        <v>6082900.5999999996</v>
      </c>
      <c r="AF17" s="12">
        <f t="shared" si="31"/>
        <v>6244925.1799999988</v>
      </c>
      <c r="AG17" s="12">
        <f t="shared" si="10"/>
        <v>88146.110000000015</v>
      </c>
      <c r="AH17" s="44">
        <f t="shared" si="4"/>
        <v>-51244074.82</v>
      </c>
      <c r="AI17" s="44">
        <f t="shared" si="5"/>
        <v>10.862817547704775</v>
      </c>
      <c r="AJ17" s="12">
        <f t="shared" si="11"/>
        <v>-50534074.82</v>
      </c>
      <c r="AK17" s="44">
        <f t="shared" si="18"/>
        <v>10.998652987900455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-3176606.8200000012</v>
      </c>
      <c r="AO17" s="44">
        <f t="shared" si="13"/>
        <v>66.283542634042945</v>
      </c>
      <c r="AP17" s="12">
        <f t="shared" si="14"/>
        <v>2622724.8699999987</v>
      </c>
      <c r="AQ17" s="44">
        <f t="shared" si="19"/>
        <v>172.40695283359409</v>
      </c>
      <c r="AR17" s="12">
        <f t="shared" si="20"/>
        <v>-7406343.5700000012</v>
      </c>
      <c r="AS17" s="12">
        <f t="shared" si="21"/>
        <v>45.746115576253665</v>
      </c>
      <c r="AT17" s="34">
        <f>AT18+AT19</f>
        <v>6244925.1799999988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3459154.69-1299</f>
        <v>3457855.69</v>
      </c>
      <c r="W18" s="53"/>
      <c r="X18" s="53"/>
      <c r="Y18" s="13">
        <f>V18</f>
        <v>3457855.69</v>
      </c>
      <c r="Z18" s="66">
        <v>23363753.050000001</v>
      </c>
      <c r="AA18" s="66">
        <v>22995495</v>
      </c>
      <c r="AB18" s="16">
        <v>7700253</v>
      </c>
      <c r="AC18" s="13">
        <v>1071.78</v>
      </c>
      <c r="AD18" s="13">
        <v>2785.1</v>
      </c>
      <c r="AE18" s="13">
        <v>4558614.0999999996</v>
      </c>
      <c r="AF18" s="13">
        <f t="shared" si="23"/>
        <v>4561399.1999999993</v>
      </c>
      <c r="AG18" s="13">
        <f t="shared" si="10"/>
        <v>1713.32</v>
      </c>
      <c r="AH18" s="44">
        <f t="shared" si="4"/>
        <v>-18802353.850000001</v>
      </c>
      <c r="AI18" s="44">
        <f t="shared" si="5"/>
        <v>19.523401014547186</v>
      </c>
      <c r="AJ18" s="13">
        <f t="shared" si="11"/>
        <v>-18434095.800000001</v>
      </c>
      <c r="AK18" s="44">
        <f t="shared" si="18"/>
        <v>19.836055714391009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-3138853.8000000007</v>
      </c>
      <c r="AO18" s="44">
        <f t="shared" si="13"/>
        <v>59.237004290638225</v>
      </c>
      <c r="AP18" s="13">
        <f t="shared" si="14"/>
        <v>1103543.5099999993</v>
      </c>
      <c r="AQ18" s="44">
        <f t="shared" si="19"/>
        <v>131.91409963091894</v>
      </c>
      <c r="AR18" s="13">
        <f t="shared" si="20"/>
        <v>-5524217.3100000005</v>
      </c>
      <c r="AS18" s="13">
        <f t="shared" si="21"/>
        <v>45.22677612694595</v>
      </c>
      <c r="AT18" s="31">
        <f>AF18</f>
        <v>4561399.1999999993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164344.62</v>
      </c>
      <c r="W19" s="53"/>
      <c r="X19" s="53"/>
      <c r="Y19" s="13">
        <f>V19</f>
        <v>164344.62</v>
      </c>
      <c r="Z19" s="66">
        <v>34125246.950000003</v>
      </c>
      <c r="AA19" s="66">
        <v>33783505</v>
      </c>
      <c r="AB19" s="16">
        <v>1721279</v>
      </c>
      <c r="AC19" s="13">
        <v>72806.69</v>
      </c>
      <c r="AD19" s="13">
        <v>159239.48000000001</v>
      </c>
      <c r="AE19" s="13">
        <v>1524286.4999999998</v>
      </c>
      <c r="AF19" s="13">
        <f t="shared" si="23"/>
        <v>1683525.9799999997</v>
      </c>
      <c r="AG19" s="13">
        <f t="shared" si="10"/>
        <v>86432.790000000008</v>
      </c>
      <c r="AH19" s="44">
        <f t="shared" si="4"/>
        <v>-32441720.970000003</v>
      </c>
      <c r="AI19" s="44">
        <f t="shared" si="5"/>
        <v>4.9333737642006996</v>
      </c>
      <c r="AJ19" s="13">
        <f t="shared" si="11"/>
        <v>-32099979.02</v>
      </c>
      <c r="AK19" s="44">
        <f t="shared" si="18"/>
        <v>4.9832780228102438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-37753.020000000251</v>
      </c>
      <c r="AO19" s="44">
        <f t="shared" si="13"/>
        <v>97.806687933798059</v>
      </c>
      <c r="AP19" s="13">
        <f t="shared" si="14"/>
        <v>1519181.3599999999</v>
      </c>
      <c r="AQ19" s="44">
        <f t="shared" si="19"/>
        <v>1024.3876434774681</v>
      </c>
      <c r="AR19" s="13">
        <f t="shared" si="20"/>
        <v>-1882126.2600000005</v>
      </c>
      <c r="AS19" s="13">
        <f t="shared" si="21"/>
        <v>47.21509184530008</v>
      </c>
      <c r="AT19" s="31">
        <f>AF19</f>
        <v>1683525.9799999997</v>
      </c>
      <c r="AU19" s="86"/>
    </row>
    <row r="20" spans="1:47" s="10" customFormat="1" ht="30.75" hidden="1" customHeight="1" x14ac:dyDescent="0.3">
      <c r="A20" s="9"/>
      <c r="B20" s="123" t="s">
        <v>18</v>
      </c>
      <c r="C20" s="123"/>
      <c r="D20" s="123"/>
      <c r="E20" s="123"/>
      <c r="F20" s="123"/>
      <c r="G20" s="123"/>
      <c r="H20" s="123"/>
      <c r="I20" s="123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1101905.1200000001</v>
      </c>
      <c r="W20" s="12"/>
      <c r="X20" s="12"/>
      <c r="Y20" s="12">
        <f>V20</f>
        <v>1101905.1200000001</v>
      </c>
      <c r="Z20" s="12">
        <v>7706000</v>
      </c>
      <c r="AA20" s="12">
        <v>7743000</v>
      </c>
      <c r="AB20" s="12">
        <v>1490429</v>
      </c>
      <c r="AC20" s="12">
        <v>168341.54</v>
      </c>
      <c r="AD20" s="12">
        <v>177566.58</v>
      </c>
      <c r="AE20" s="12">
        <v>1171827.83</v>
      </c>
      <c r="AF20" s="12">
        <f t="shared" si="23"/>
        <v>1349394.4100000001</v>
      </c>
      <c r="AG20" s="12">
        <f t="shared" si="10"/>
        <v>9225.039999999979</v>
      </c>
      <c r="AH20" s="44">
        <f t="shared" si="4"/>
        <v>-6356605.5899999999</v>
      </c>
      <c r="AI20" s="44">
        <f t="shared" si="5"/>
        <v>17.510957825071376</v>
      </c>
      <c r="AJ20" s="12">
        <f t="shared" si="11"/>
        <v>-6393605.5899999999</v>
      </c>
      <c r="AK20" s="44">
        <f t="shared" si="18"/>
        <v>17.42728154462095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-141034.58999999985</v>
      </c>
      <c r="AO20" s="44">
        <f t="shared" si="13"/>
        <v>90.537315766131769</v>
      </c>
      <c r="AP20" s="12">
        <f t="shared" si="14"/>
        <v>247489.29000000004</v>
      </c>
      <c r="AQ20" s="44">
        <f t="shared" ref="AQ20:AQ63" si="35">AF20/Y20%</f>
        <v>122.46012705703735</v>
      </c>
      <c r="AR20" s="12">
        <f t="shared" si="20"/>
        <v>-1724625.0499999998</v>
      </c>
      <c r="AS20" s="12">
        <f t="shared" si="21"/>
        <v>43.896742605526647</v>
      </c>
      <c r="AT20" s="34">
        <f>AF20</f>
        <v>1349394.4100000001</v>
      </c>
      <c r="AU20" s="86"/>
    </row>
    <row r="21" spans="1:47" s="10" customFormat="1" ht="62.25" hidden="1" customHeight="1" x14ac:dyDescent="0.3">
      <c r="A21" s="9"/>
      <c r="B21" s="137" t="s">
        <v>58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3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70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6">S23+S36+S37+S45+S48+S50</f>
        <v>86476358.480000004</v>
      </c>
      <c r="T22" s="71">
        <f t="shared" si="36"/>
        <v>93832615.929999977</v>
      </c>
      <c r="U22" s="71">
        <f>U23+U36+U37+U45+U48+U50</f>
        <v>91729067.069999978</v>
      </c>
      <c r="V22" s="71">
        <f>V23+V36+V37+V45+V48+V50</f>
        <v>21480210.300000004</v>
      </c>
      <c r="W22" s="71"/>
      <c r="X22" s="71">
        <f t="shared" ref="X22:AB22" si="37">X23+X36+X37+X45+X48+X50</f>
        <v>0</v>
      </c>
      <c r="Y22" s="71">
        <f t="shared" si="37"/>
        <v>21480210.300000004</v>
      </c>
      <c r="Z22" s="71">
        <f t="shared" si="37"/>
        <v>76980199.650000006</v>
      </c>
      <c r="AA22" s="71">
        <f t="shared" si="37"/>
        <v>83684298.329999998</v>
      </c>
      <c r="AB22" s="71">
        <f t="shared" si="37"/>
        <v>22305021.969999999</v>
      </c>
      <c r="AC22" s="71">
        <f t="shared" ref="AC22:AD22" si="38">AC23+AC36+AC37+AC45+AC48+AC50</f>
        <v>2931908.19</v>
      </c>
      <c r="AD22" s="71">
        <f t="shared" si="38"/>
        <v>1454241.28</v>
      </c>
      <c r="AE22" s="71">
        <v>19272947.969999999</v>
      </c>
      <c r="AF22" s="71">
        <f>AF23+AF36+AF37+AF45+AF48+AF50</f>
        <v>20727189.250000004</v>
      </c>
      <c r="AG22" s="71">
        <f t="shared" ref="AG22" si="39">AD22-AC22</f>
        <v>-1477666.91</v>
      </c>
      <c r="AH22" s="72">
        <f t="shared" si="4"/>
        <v>-56253010.400000006</v>
      </c>
      <c r="AI22" s="72">
        <f t="shared" ref="AI22" si="40">AF22/Z22*100</f>
        <v>26.925351381574391</v>
      </c>
      <c r="AJ22" s="71">
        <f t="shared" si="11"/>
        <v>-62957109.079999998</v>
      </c>
      <c r="AK22" s="72">
        <f t="shared" ref="AK22" si="41">AF22/AA22%</f>
        <v>24.768313367777274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-1577832.7199999951</v>
      </c>
      <c r="AO22" s="72">
        <f t="shared" ref="AO22" si="42">AF22/AB22*100</f>
        <v>92.926109993874192</v>
      </c>
      <c r="AP22" s="71">
        <f t="shared" si="14"/>
        <v>-753021.05000000075</v>
      </c>
      <c r="AQ22" s="72">
        <f t="shared" ref="AQ22" si="43">AF22/Y22%</f>
        <v>96.494349731762171</v>
      </c>
      <c r="AR22" s="12"/>
      <c r="AS22" s="12"/>
      <c r="AT22" s="34"/>
    </row>
    <row r="23" spans="1:47" s="10" customFormat="1" ht="83.25" hidden="1" customHeight="1" x14ac:dyDescent="0.3">
      <c r="A23" s="9"/>
      <c r="B23" s="123" t="s">
        <v>17</v>
      </c>
      <c r="C23" s="123"/>
      <c r="D23" s="123"/>
      <c r="E23" s="123"/>
      <c r="F23" s="123"/>
      <c r="G23" s="123"/>
      <c r="H23" s="123"/>
      <c r="I23" s="123"/>
      <c r="J23" s="60">
        <f t="shared" ref="J23:AF23" si="44">J24+J27+J29+J31</f>
        <v>39449619.330000006</v>
      </c>
      <c r="K23" s="60">
        <f t="shared" si="44"/>
        <v>39449619.330000006</v>
      </c>
      <c r="L23" s="60">
        <f t="shared" si="44"/>
        <v>10238465.989999998</v>
      </c>
      <c r="M23" s="60">
        <f t="shared" si="44"/>
        <v>10238465.989999998</v>
      </c>
      <c r="N23" s="12">
        <f t="shared" si="44"/>
        <v>42188190.339999996</v>
      </c>
      <c r="O23" s="12">
        <f t="shared" si="44"/>
        <v>49536681.379999995</v>
      </c>
      <c r="P23" s="12">
        <f t="shared" si="44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5">S24+S27+S29+S31</f>
        <v>42777461.119999997</v>
      </c>
      <c r="T23" s="12">
        <f t="shared" si="45"/>
        <v>47630236.639999993</v>
      </c>
      <c r="U23" s="12">
        <f>U24+U27+U29+U31</f>
        <v>46969616.779999994</v>
      </c>
      <c r="V23" s="12">
        <f t="shared" ref="V23:X23" si="46">V24+V27+V29+V31</f>
        <v>8675014.3000000007</v>
      </c>
      <c r="W23" s="12"/>
      <c r="X23" s="12">
        <f t="shared" si="46"/>
        <v>0</v>
      </c>
      <c r="Y23" s="12">
        <f>Y24+Y27+Y29+Y31</f>
        <v>8675014.3000000007</v>
      </c>
      <c r="Z23" s="12">
        <f t="shared" ref="Z23:AB23" si="47">Z24+Z27+Z29+Z31</f>
        <v>47029000</v>
      </c>
      <c r="AA23" s="12">
        <f t="shared" si="47"/>
        <v>49534190</v>
      </c>
      <c r="AB23" s="12">
        <f t="shared" si="47"/>
        <v>9798958.5899999999</v>
      </c>
      <c r="AC23" s="12">
        <f>AC24+AC27+AC29+AC31</f>
        <v>1455498.38</v>
      </c>
      <c r="AD23" s="12">
        <f>AD24+AD27+AD29+AD31</f>
        <v>455950.58</v>
      </c>
      <c r="AE23" s="12">
        <v>7377509.4499999993</v>
      </c>
      <c r="AF23" s="12">
        <f t="shared" si="44"/>
        <v>7833460.0299999993</v>
      </c>
      <c r="AG23" s="12">
        <f t="shared" si="10"/>
        <v>-999547.79999999981</v>
      </c>
      <c r="AH23" s="44">
        <f t="shared" si="4"/>
        <v>-39195539.969999999</v>
      </c>
      <c r="AI23" s="44">
        <f t="shared" si="5"/>
        <v>16.656658721214569</v>
      </c>
      <c r="AJ23" s="12">
        <f t="shared" si="11"/>
        <v>-41700729.969999999</v>
      </c>
      <c r="AK23" s="44">
        <f t="shared" si="18"/>
        <v>15.814248764338327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-1965498.5600000005</v>
      </c>
      <c r="AO23" s="44">
        <f t="shared" si="13"/>
        <v>79.941760729494007</v>
      </c>
      <c r="AP23" s="12">
        <f t="shared" si="14"/>
        <v>-841554.27000000142</v>
      </c>
      <c r="AQ23" s="44">
        <f t="shared" si="35"/>
        <v>90.299102215889121</v>
      </c>
      <c r="AR23" s="12">
        <f>AF23-M23</f>
        <v>-2405005.959999999</v>
      </c>
      <c r="AS23" s="12">
        <f>IF(M23=0,0,AF23/M23*100)</f>
        <v>76.510094751020418</v>
      </c>
      <c r="AT23" s="34">
        <f>AT24+AT27+AT29+AT31</f>
        <v>7601129.1499999994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71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8">U25+U26</f>
        <v>44043460.589999996</v>
      </c>
      <c r="V24" s="12">
        <f>V25+V26</f>
        <v>8207945.4100000001</v>
      </c>
      <c r="W24" s="13"/>
      <c r="X24" s="13">
        <f t="shared" si="48"/>
        <v>0</v>
      </c>
      <c r="Y24" s="12">
        <f t="shared" si="48"/>
        <v>8207945.4100000001</v>
      </c>
      <c r="Z24" s="12">
        <f t="shared" si="48"/>
        <v>46880510</v>
      </c>
      <c r="AA24" s="12">
        <f>AA25+AA26</f>
        <v>48200367.740000002</v>
      </c>
      <c r="AB24" s="12">
        <f>AB25+AB26</f>
        <v>9258500</v>
      </c>
      <c r="AC24" s="12">
        <f>AC25+AC26</f>
        <v>1431286.7799999998</v>
      </c>
      <c r="AD24" s="12">
        <f>AD25+AD26</f>
        <v>434707.51</v>
      </c>
      <c r="AE24" s="12">
        <v>6837226.21</v>
      </c>
      <c r="AF24" s="12">
        <f t="shared" ref="AF24" si="49">AF25+AF26</f>
        <v>7271933.7199999997</v>
      </c>
      <c r="AG24" s="12">
        <f>AD24-AC24</f>
        <v>-996579.26999999979</v>
      </c>
      <c r="AH24" s="44">
        <f t="shared" si="4"/>
        <v>-39608576.280000001</v>
      </c>
      <c r="AI24" s="44">
        <f t="shared" si="5"/>
        <v>15.511635261647111</v>
      </c>
      <c r="AJ24" s="12">
        <f t="shared" si="11"/>
        <v>-40928434.020000003</v>
      </c>
      <c r="AK24" s="44">
        <f t="shared" si="18"/>
        <v>15.08688431429797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-1986566.2800000003</v>
      </c>
      <c r="AO24" s="44">
        <f t="shared" si="13"/>
        <v>78.543324728627738</v>
      </c>
      <c r="AP24" s="12">
        <f t="shared" si="14"/>
        <v>-936011.69000000041</v>
      </c>
      <c r="AQ24" s="44">
        <f t="shared" si="35"/>
        <v>88.596272961810541</v>
      </c>
      <c r="AR24" s="12">
        <f>AF24-M24</f>
        <v>-2596210.8899999997</v>
      </c>
      <c r="AS24" s="12">
        <f>IF(M24=0,0,AF24/M24*100)</f>
        <v>73.690992657635974</v>
      </c>
      <c r="AT24" s="31">
        <f>AF24</f>
        <v>7271933.7199999997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72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6504319.6500000004</v>
      </c>
      <c r="W25" s="13"/>
      <c r="X25" s="13"/>
      <c r="Y25" s="13">
        <f>V25</f>
        <v>6504319.6500000004</v>
      </c>
      <c r="Z25" s="13">
        <v>34696660</v>
      </c>
      <c r="AA25" s="13">
        <v>36508280</v>
      </c>
      <c r="AB25" s="13">
        <v>8521500</v>
      </c>
      <c r="AC25" s="13">
        <v>742146.09</v>
      </c>
      <c r="AD25" s="13">
        <v>303707.39</v>
      </c>
      <c r="AE25" s="13">
        <v>5316358.45</v>
      </c>
      <c r="AF25" s="13">
        <f t="shared" si="23"/>
        <v>5620065.8399999999</v>
      </c>
      <c r="AG25" s="13">
        <f>AD25-AC25</f>
        <v>-438438.69999999995</v>
      </c>
      <c r="AH25" s="44">
        <f t="shared" si="4"/>
        <v>-29076594.16</v>
      </c>
      <c r="AI25" s="44">
        <f t="shared" si="5"/>
        <v>16.197714246846814</v>
      </c>
      <c r="AJ25" s="13">
        <f t="shared" si="11"/>
        <v>-30888214.16</v>
      </c>
      <c r="AK25" s="42">
        <f t="shared" si="18"/>
        <v>15.393948550849286</v>
      </c>
      <c r="AL25" s="13"/>
      <c r="AM25" s="13"/>
      <c r="AN25" s="42">
        <f t="shared" si="12"/>
        <v>-2901434.16</v>
      </c>
      <c r="AO25" s="42">
        <f t="shared" si="13"/>
        <v>65.951602886815692</v>
      </c>
      <c r="AP25" s="13">
        <f t="shared" si="14"/>
        <v>-884253.81000000052</v>
      </c>
      <c r="AQ25" s="42">
        <f t="shared" si="35"/>
        <v>86.405129858585582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85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956162.01+747463.75</f>
        <v>1703625.76</v>
      </c>
      <c r="W26" s="16"/>
      <c r="X26" s="16"/>
      <c r="Y26" s="13">
        <f>V26</f>
        <v>1703625.76</v>
      </c>
      <c r="Z26" s="13">
        <v>12183850</v>
      </c>
      <c r="AA26" s="13">
        <f>6966987.74+4725100</f>
        <v>11692087.74</v>
      </c>
      <c r="AB26" s="13">
        <f>632000+105000</f>
        <v>737000</v>
      </c>
      <c r="AC26" s="13">
        <v>689140.69</v>
      </c>
      <c r="AD26" s="13">
        <v>131000.12</v>
      </c>
      <c r="AE26" s="13">
        <v>1520867.76</v>
      </c>
      <c r="AF26" s="13">
        <f t="shared" si="23"/>
        <v>1651867.88</v>
      </c>
      <c r="AG26" s="13">
        <f>AD26-AC26</f>
        <v>-558140.56999999995</v>
      </c>
      <c r="AH26" s="44">
        <f t="shared" si="4"/>
        <v>-10531982.120000001</v>
      </c>
      <c r="AI26" s="44">
        <f t="shared" si="5"/>
        <v>13.557848135031209</v>
      </c>
      <c r="AJ26" s="12">
        <f t="shared" si="11"/>
        <v>-10040219.859999999</v>
      </c>
      <c r="AK26" s="42">
        <f t="shared" si="18"/>
        <v>14.128083168147691</v>
      </c>
      <c r="AL26" s="13"/>
      <c r="AM26" s="13"/>
      <c r="AN26" s="42">
        <f t="shared" si="12"/>
        <v>914867.87999999989</v>
      </c>
      <c r="AO26" s="42">
        <f t="shared" si="13"/>
        <v>224.13404070556305</v>
      </c>
      <c r="AP26" s="13">
        <f t="shared" si="14"/>
        <v>-51757.880000000121</v>
      </c>
      <c r="AQ26" s="42">
        <f t="shared" si="35"/>
        <v>96.961898486437534</v>
      </c>
      <c r="AR26" s="12"/>
      <c r="AS26" s="12"/>
      <c r="AT26" s="31"/>
      <c r="AU26" s="108" t="s">
        <v>98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73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0">S28</f>
        <v>989651.62</v>
      </c>
      <c r="T27" s="12">
        <f t="shared" si="50"/>
        <v>1733380.9700000002</v>
      </c>
      <c r="U27" s="13">
        <f t="shared" ref="U27:AB27" si="51">U28</f>
        <v>1733380.9700000002</v>
      </c>
      <c r="V27" s="12">
        <f t="shared" si="51"/>
        <v>281631.93</v>
      </c>
      <c r="W27" s="13"/>
      <c r="X27" s="13"/>
      <c r="Y27" s="12">
        <f t="shared" si="51"/>
        <v>281631.93</v>
      </c>
      <c r="Z27" s="12">
        <f t="shared" si="51"/>
        <v>100490</v>
      </c>
      <c r="AA27" s="12">
        <f t="shared" si="51"/>
        <v>549832.26</v>
      </c>
      <c r="AB27" s="12">
        <f t="shared" si="51"/>
        <v>228771.11000000002</v>
      </c>
      <c r="AC27" s="12">
        <f>AC28</f>
        <v>9775</v>
      </c>
      <c r="AD27" s="12">
        <f>AD28</f>
        <v>8403</v>
      </c>
      <c r="AE27" s="12">
        <v>320792.43</v>
      </c>
      <c r="AF27" s="12">
        <f t="shared" ref="AF27" si="52">AF28</f>
        <v>329195.43</v>
      </c>
      <c r="AG27" s="12">
        <f t="shared" si="10"/>
        <v>-1372</v>
      </c>
      <c r="AH27" s="44">
        <f t="shared" si="4"/>
        <v>228705.43</v>
      </c>
      <c r="AI27" s="44">
        <f t="shared" si="5"/>
        <v>327.59023783461043</v>
      </c>
      <c r="AJ27" s="12">
        <f t="shared" si="11"/>
        <v>-220636.83000000002</v>
      </c>
      <c r="AK27" s="44">
        <f t="shared" si="18"/>
        <v>59.871974409067953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100424.31999999998</v>
      </c>
      <c r="AO27" s="44">
        <f t="shared" si="13"/>
        <v>143.89729105217873</v>
      </c>
      <c r="AP27" s="12">
        <f t="shared" si="14"/>
        <v>47563.5</v>
      </c>
      <c r="AQ27" s="44">
        <f t="shared" si="35"/>
        <v>116.88853248990624</v>
      </c>
      <c r="AR27" s="12">
        <f>AF27-M27</f>
        <v>-4530.4100000000326</v>
      </c>
      <c r="AS27" s="12">
        <f>IF(M27=0,0,AF27/M27*100)</f>
        <v>98.642475512234824</v>
      </c>
      <c r="AT27" s="31">
        <f>AF27</f>
        <v>329195.43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86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89709.99+191921.94</f>
        <v>281631.93</v>
      </c>
      <c r="W28" s="16"/>
      <c r="X28" s="16"/>
      <c r="Y28" s="16">
        <f>V28</f>
        <v>281631.93</v>
      </c>
      <c r="Z28" s="16">
        <v>100490</v>
      </c>
      <c r="AA28" s="16">
        <f>109952.06+439880.2</f>
        <v>549832.26</v>
      </c>
      <c r="AB28" s="16">
        <f>55377.79+173393.32</f>
        <v>228771.11000000002</v>
      </c>
      <c r="AC28" s="13">
        <v>9775</v>
      </c>
      <c r="AD28" s="13">
        <v>8403</v>
      </c>
      <c r="AE28" s="13">
        <v>320792.43</v>
      </c>
      <c r="AF28" s="13">
        <f t="shared" si="23"/>
        <v>329195.43</v>
      </c>
      <c r="AG28" s="13">
        <f>AD28-AC28</f>
        <v>-1372</v>
      </c>
      <c r="AH28" s="44">
        <f t="shared" si="4"/>
        <v>228705.43</v>
      </c>
      <c r="AI28" s="44">
        <f t="shared" si="5"/>
        <v>327.59023783461043</v>
      </c>
      <c r="AJ28" s="13">
        <f t="shared" si="11"/>
        <v>-220636.83000000002</v>
      </c>
      <c r="AK28" s="42">
        <f t="shared" si="18"/>
        <v>59.871974409067953</v>
      </c>
      <c r="AL28" s="16"/>
      <c r="AM28" s="16"/>
      <c r="AN28" s="42">
        <f t="shared" si="12"/>
        <v>100424.31999999998</v>
      </c>
      <c r="AO28" s="42">
        <f t="shared" si="13"/>
        <v>143.89729105217873</v>
      </c>
      <c r="AP28" s="13">
        <f t="shared" si="14"/>
        <v>47563.5</v>
      </c>
      <c r="AQ28" s="42">
        <f t="shared" si="35"/>
        <v>116.88853248990624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39" t="s">
        <v>16</v>
      </c>
      <c r="C29" s="139"/>
      <c r="D29" s="139"/>
      <c r="E29" s="139"/>
      <c r="F29" s="139"/>
      <c r="G29" s="139"/>
      <c r="H29" s="139"/>
      <c r="I29" s="139"/>
      <c r="J29" s="12">
        <f t="shared" ref="J29:AB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65907.5</v>
      </c>
      <c r="T29" s="12">
        <f t="shared" si="53"/>
        <v>65907.5</v>
      </c>
      <c r="U29" s="12">
        <f>U30</f>
        <v>65907.5</v>
      </c>
      <c r="V29" s="12">
        <f t="shared" ref="V29:X29" si="54">V30</f>
        <v>0</v>
      </c>
      <c r="W29" s="12"/>
      <c r="X29" s="12">
        <f t="shared" si="54"/>
        <v>0</v>
      </c>
      <c r="Y29" s="12">
        <f>Y30</f>
        <v>0</v>
      </c>
      <c r="Z29" s="12">
        <f t="shared" si="53"/>
        <v>0</v>
      </c>
      <c r="AA29" s="12">
        <f t="shared" si="53"/>
        <v>60000</v>
      </c>
      <c r="AB29" s="12">
        <f t="shared" si="53"/>
        <v>60000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f t="shared" si="18"/>
        <v>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-60000</v>
      </c>
      <c r="AO29" s="44">
        <v>0</v>
      </c>
      <c r="AP29" s="12">
        <f t="shared" si="14"/>
        <v>0</v>
      </c>
      <c r="AQ29" s="44">
        <v>0</v>
      </c>
      <c r="AR29" s="12">
        <f t="shared" ref="AR29:AR38" si="55">AF29-M29</f>
        <v>-13500</v>
      </c>
      <c r="AS29" s="12">
        <f t="shared" ref="AS29:AS38" si="56">IF(M29=0,0,AF29/M29*100)</f>
        <v>0</v>
      </c>
      <c r="AT29" s="34">
        <f t="shared" ref="AT29" si="57">AT30</f>
        <v>0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0</v>
      </c>
      <c r="AF30" s="13">
        <f t="shared" si="23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f t="shared" si="18"/>
        <v>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-60000</v>
      </c>
      <c r="AO30" s="42">
        <v>0</v>
      </c>
      <c r="AP30" s="13">
        <f t="shared" si="14"/>
        <v>0</v>
      </c>
      <c r="AQ30" s="42">
        <v>0</v>
      </c>
      <c r="AR30" s="12">
        <f t="shared" si="55"/>
        <v>-13500</v>
      </c>
      <c r="AS30" s="12">
        <f t="shared" si="56"/>
        <v>0</v>
      </c>
      <c r="AT30" s="31">
        <f>AF30</f>
        <v>0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78</v>
      </c>
      <c r="J31" s="12">
        <f t="shared" ref="J31:R31" si="58">J35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ref="S31:T31" si="59">S32+S33+S34+S35</f>
        <v>1027310</v>
      </c>
      <c r="T31" s="12">
        <f t="shared" si="59"/>
        <v>1126867.72</v>
      </c>
      <c r="U31" s="12">
        <f>U32+U33+U34+U35</f>
        <v>1126867.72</v>
      </c>
      <c r="V31" s="12">
        <f t="shared" ref="V31:Y31" si="60">V32+V33+V34+V35</f>
        <v>185436.96</v>
      </c>
      <c r="W31" s="12">
        <f t="shared" si="60"/>
        <v>0</v>
      </c>
      <c r="X31" s="12">
        <f t="shared" si="60"/>
        <v>0</v>
      </c>
      <c r="Y31" s="12">
        <f t="shared" si="60"/>
        <v>185436.96</v>
      </c>
      <c r="Z31" s="12">
        <f>Z32+Z33+Z34+Z35</f>
        <v>48000</v>
      </c>
      <c r="AA31" s="12">
        <f t="shared" ref="AA31" si="61">AA32+AA33+AA34+AA35</f>
        <v>723990</v>
      </c>
      <c r="AB31" s="12">
        <f t="shared" ref="AB31" si="62">AB32+AB33+AB34+AB35</f>
        <v>251687.48</v>
      </c>
      <c r="AC31" s="12">
        <f t="shared" ref="AC31:AD31" si="63">AC32+AC33+AC34+AC35</f>
        <v>14436.6</v>
      </c>
      <c r="AD31" s="12">
        <f t="shared" si="63"/>
        <v>12840.07</v>
      </c>
      <c r="AE31" s="12">
        <v>219490.81000000003</v>
      </c>
      <c r="AF31" s="12">
        <f t="shared" ref="AF31" si="64">AF32+AF33+AF34+AF35</f>
        <v>232330.88</v>
      </c>
      <c r="AG31" s="12">
        <f t="shared" si="10"/>
        <v>-1596.5300000000007</v>
      </c>
      <c r="AH31" s="44">
        <f t="shared" si="4"/>
        <v>184330.88</v>
      </c>
      <c r="AI31" s="44">
        <v>0</v>
      </c>
      <c r="AJ31" s="12">
        <f t="shared" si="11"/>
        <v>-491659.12</v>
      </c>
      <c r="AK31" s="44">
        <f t="shared" si="18"/>
        <v>32.090343789278862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-19356.600000000006</v>
      </c>
      <c r="AO31" s="44">
        <f t="shared" si="13"/>
        <v>92.309271800091125</v>
      </c>
      <c r="AP31" s="12">
        <f t="shared" si="14"/>
        <v>46893.920000000013</v>
      </c>
      <c r="AQ31" s="44">
        <f t="shared" si="35"/>
        <v>125.28833518409706</v>
      </c>
      <c r="AR31" s="12">
        <f t="shared" si="55"/>
        <v>209235.34</v>
      </c>
      <c r="AS31" s="12">
        <f t="shared" si="56"/>
        <v>1005.9556087452382</v>
      </c>
      <c r="AT31" s="34">
        <f t="shared" ref="AT31" si="65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87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169982.36</v>
      </c>
      <c r="W32" s="13"/>
      <c r="X32" s="13"/>
      <c r="Y32" s="13">
        <f>V32</f>
        <v>169982.36</v>
      </c>
      <c r="Z32" s="13"/>
      <c r="AA32" s="13">
        <v>649240</v>
      </c>
      <c r="AB32" s="13">
        <v>222000</v>
      </c>
      <c r="AC32" s="114">
        <v>12100.11</v>
      </c>
      <c r="AD32" s="114">
        <v>3886.02</v>
      </c>
      <c r="AE32" s="13">
        <v>183055.58000000002</v>
      </c>
      <c r="AF32" s="13">
        <f t="shared" si="23"/>
        <v>186941.6</v>
      </c>
      <c r="AG32" s="13">
        <f t="shared" si="10"/>
        <v>-8214.09</v>
      </c>
      <c r="AH32" s="44"/>
      <c r="AI32" s="44"/>
      <c r="AJ32" s="13">
        <f t="shared" si="11"/>
        <v>-462298.4</v>
      </c>
      <c r="AK32" s="42">
        <f t="shared" si="18"/>
        <v>28.793912882755222</v>
      </c>
      <c r="AL32" s="12"/>
      <c r="AM32" s="12"/>
      <c r="AN32" s="42">
        <f t="shared" si="12"/>
        <v>-35058.399999999994</v>
      </c>
      <c r="AO32" s="42">
        <f t="shared" si="13"/>
        <v>84.207927927927926</v>
      </c>
      <c r="AP32" s="13">
        <f t="shared" si="14"/>
        <v>16959.24000000002</v>
      </c>
      <c r="AQ32" s="42">
        <f t="shared" si="35"/>
        <v>109.97705879598331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88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5501.22</v>
      </c>
      <c r="W33" s="13"/>
      <c r="X33" s="13"/>
      <c r="Y33" s="13">
        <f t="shared" ref="Y33:Y35" si="66">V33</f>
        <v>5501.22</v>
      </c>
      <c r="Z33" s="13"/>
      <c r="AA33" s="13">
        <v>74750</v>
      </c>
      <c r="AB33" s="13">
        <v>0</v>
      </c>
      <c r="AC33" s="114">
        <v>2336.4899999999998</v>
      </c>
      <c r="AD33" s="114">
        <v>8954.0499999999993</v>
      </c>
      <c r="AE33" s="13">
        <v>14626.23</v>
      </c>
      <c r="AF33" s="13">
        <f t="shared" si="23"/>
        <v>23580.28</v>
      </c>
      <c r="AG33" s="13">
        <f t="shared" si="10"/>
        <v>6617.5599999999995</v>
      </c>
      <c r="AH33" s="44"/>
      <c r="AI33" s="44"/>
      <c r="AJ33" s="13">
        <f t="shared" si="11"/>
        <v>-51169.72</v>
      </c>
      <c r="AK33" s="42">
        <f t="shared" si="18"/>
        <v>31.545525083612038</v>
      </c>
      <c r="AL33" s="12"/>
      <c r="AM33" s="12"/>
      <c r="AN33" s="42">
        <f t="shared" si="12"/>
        <v>23580.28</v>
      </c>
      <c r="AO33" s="42">
        <v>0</v>
      </c>
      <c r="AP33" s="13">
        <f t="shared" si="14"/>
        <v>18079.059999999998</v>
      </c>
      <c r="AQ33" s="42">
        <f t="shared" si="35"/>
        <v>428.63728409334652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89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6"/>
        <v>0</v>
      </c>
      <c r="Z34" s="13"/>
      <c r="AA34" s="13">
        <v>0</v>
      </c>
      <c r="AB34" s="13">
        <v>29687.48</v>
      </c>
      <c r="AC34" s="114">
        <v>0</v>
      </c>
      <c r="AD34" s="114">
        <v>0</v>
      </c>
      <c r="AE34" s="13">
        <v>21809</v>
      </c>
      <c r="AF34" s="13">
        <f t="shared" si="23"/>
        <v>21809</v>
      </c>
      <c r="AG34" s="13">
        <f t="shared" si="10"/>
        <v>0</v>
      </c>
      <c r="AH34" s="44"/>
      <c r="AI34" s="44"/>
      <c r="AJ34" s="13">
        <f t="shared" si="11"/>
        <v>21809</v>
      </c>
      <c r="AK34" s="42">
        <v>0</v>
      </c>
      <c r="AL34" s="12"/>
      <c r="AM34" s="12"/>
      <c r="AN34" s="42">
        <f t="shared" si="12"/>
        <v>-7878.48</v>
      </c>
      <c r="AO34" s="42">
        <f t="shared" si="13"/>
        <v>73.461944226994007</v>
      </c>
      <c r="AP34" s="13">
        <f t="shared" si="14"/>
        <v>21809</v>
      </c>
      <c r="AQ34" s="42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90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9953.3799999999992</v>
      </c>
      <c r="W35" s="13"/>
      <c r="X35" s="13"/>
      <c r="Y35" s="13">
        <f t="shared" si="66"/>
        <v>9953.3799999999992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3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0</v>
      </c>
      <c r="AP35" s="13">
        <f t="shared" si="14"/>
        <v>-9953.3799999999992</v>
      </c>
      <c r="AQ35" s="42">
        <f t="shared" si="35"/>
        <v>0</v>
      </c>
      <c r="AR35" s="12">
        <f t="shared" si="55"/>
        <v>-23095.54</v>
      </c>
      <c r="AS35" s="12">
        <f t="shared" si="56"/>
        <v>0</v>
      </c>
      <c r="AT35" s="31">
        <f>AF35</f>
        <v>0</v>
      </c>
    </row>
    <row r="36" spans="1:47" s="10" customFormat="1" ht="40.5" hidden="1" customHeight="1" x14ac:dyDescent="0.3">
      <c r="A36" s="9"/>
      <c r="B36" s="123" t="s">
        <v>14</v>
      </c>
      <c r="C36" s="123"/>
      <c r="D36" s="123"/>
      <c r="E36" s="123"/>
      <c r="F36" s="123"/>
      <c r="G36" s="123"/>
      <c r="H36" s="123"/>
      <c r="I36" s="123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289172.71000000002</v>
      </c>
      <c r="W36" s="12"/>
      <c r="X36" s="12"/>
      <c r="Y36" s="12">
        <f>V36</f>
        <v>289172.71000000002</v>
      </c>
      <c r="Z36" s="12">
        <v>763440</v>
      </c>
      <c r="AA36" s="12">
        <v>447000</v>
      </c>
      <c r="AB36" s="12">
        <v>312327</v>
      </c>
      <c r="AC36" s="12">
        <v>0</v>
      </c>
      <c r="AD36" s="12">
        <v>0</v>
      </c>
      <c r="AE36" s="12">
        <v>911328.37999999989</v>
      </c>
      <c r="AF36" s="12">
        <f t="shared" si="23"/>
        <v>911328.37999999989</v>
      </c>
      <c r="AG36" s="12">
        <f t="shared" si="10"/>
        <v>0</v>
      </c>
      <c r="AH36" s="44">
        <f t="shared" si="4"/>
        <v>147888.37999999989</v>
      </c>
      <c r="AI36" s="44">
        <v>0</v>
      </c>
      <c r="AJ36" s="12">
        <f t="shared" si="11"/>
        <v>464328.37999999989</v>
      </c>
      <c r="AK36" s="44">
        <f t="shared" si="18"/>
        <v>203.87659507829974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599001.37999999989</v>
      </c>
      <c r="AO36" s="44">
        <f t="shared" si="13"/>
        <v>291.7866146698812</v>
      </c>
      <c r="AP36" s="12">
        <f t="shared" si="14"/>
        <v>622155.66999999993</v>
      </c>
      <c r="AQ36" s="44">
        <f t="shared" si="35"/>
        <v>315.15020210586255</v>
      </c>
      <c r="AR36" s="12">
        <f t="shared" si="55"/>
        <v>969102.73999999987</v>
      </c>
      <c r="AS36" s="12">
        <f t="shared" si="56"/>
        <v>-1577.3924280597828</v>
      </c>
      <c r="AT36" s="34">
        <v>745000</v>
      </c>
    </row>
    <row r="37" spans="1:47" s="10" customFormat="1" ht="57.75" hidden="1" customHeight="1" x14ac:dyDescent="0.3">
      <c r="A37" s="9"/>
      <c r="B37" s="123" t="s">
        <v>13</v>
      </c>
      <c r="C37" s="123"/>
      <c r="D37" s="123"/>
      <c r="E37" s="123"/>
      <c r="F37" s="123"/>
      <c r="G37" s="123"/>
      <c r="H37" s="123"/>
      <c r="I37" s="123"/>
      <c r="J37" s="12">
        <f t="shared" ref="J37:N37" si="67">J38+J44</f>
        <v>26875602.490000002</v>
      </c>
      <c r="K37" s="12">
        <f t="shared" si="67"/>
        <v>26875602.490000002</v>
      </c>
      <c r="L37" s="12">
        <f t="shared" si="67"/>
        <v>10496131.460000001</v>
      </c>
      <c r="M37" s="12">
        <f t="shared" si="67"/>
        <v>10496131.460000001</v>
      </c>
      <c r="N37" s="12">
        <f t="shared" si="67"/>
        <v>29133952.98</v>
      </c>
      <c r="O37" s="12">
        <f>O38+O44</f>
        <v>30359839.810000002</v>
      </c>
      <c r="P37" s="12">
        <f t="shared" ref="P37" si="68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9">U38+U44</f>
        <v>34239492.269999996</v>
      </c>
      <c r="V37" s="12">
        <f t="shared" si="69"/>
        <v>8624233.1900000013</v>
      </c>
      <c r="W37" s="12"/>
      <c r="X37" s="12">
        <f t="shared" si="69"/>
        <v>0</v>
      </c>
      <c r="Y37" s="12">
        <f t="shared" si="69"/>
        <v>8624233.1900000013</v>
      </c>
      <c r="Z37" s="12">
        <f>Z38+Z44</f>
        <v>25090600</v>
      </c>
      <c r="AA37" s="12">
        <f>AA38+AA44</f>
        <v>29480458</v>
      </c>
      <c r="AB37" s="12">
        <f>AB38+AB44</f>
        <v>8915288.8200000003</v>
      </c>
      <c r="AC37" s="12">
        <f t="shared" ref="AC37:AD37" si="70">AC38+AC44</f>
        <v>858450.24</v>
      </c>
      <c r="AD37" s="12">
        <f t="shared" si="70"/>
        <v>706250.28</v>
      </c>
      <c r="AE37" s="12">
        <v>8641338.7299999986</v>
      </c>
      <c r="AF37" s="12">
        <f>AF38+AF44</f>
        <v>9347589.0099999998</v>
      </c>
      <c r="AG37" s="12">
        <f t="shared" si="10"/>
        <v>-152199.95999999996</v>
      </c>
      <c r="AH37" s="44">
        <f t="shared" si="4"/>
        <v>-15743010.99</v>
      </c>
      <c r="AI37" s="44">
        <v>0</v>
      </c>
      <c r="AJ37" s="12">
        <f t="shared" si="11"/>
        <v>-20132868.990000002</v>
      </c>
      <c r="AK37" s="44">
        <f t="shared" si="18"/>
        <v>31.707746908138262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432300.18999999948</v>
      </c>
      <c r="AO37" s="44">
        <f t="shared" si="13"/>
        <v>104.84897571719947</v>
      </c>
      <c r="AP37" s="12">
        <f t="shared" si="14"/>
        <v>723355.81999999844</v>
      </c>
      <c r="AQ37" s="44">
        <f t="shared" si="35"/>
        <v>108.38747983807703</v>
      </c>
      <c r="AR37" s="12">
        <f t="shared" si="55"/>
        <v>-1148542.4500000011</v>
      </c>
      <c r="AS37" s="12">
        <f t="shared" si="56"/>
        <v>89.057468893401222</v>
      </c>
      <c r="AT37" s="34">
        <f t="shared" ref="AT37" si="71">AT38+AT44</f>
        <v>9347589.0099999998</v>
      </c>
    </row>
    <row r="38" spans="1:47" s="5" customFormat="1" ht="39" hidden="1" customHeight="1" x14ac:dyDescent="0.3">
      <c r="A38" s="4"/>
      <c r="B38" s="140" t="s">
        <v>60</v>
      </c>
      <c r="C38" s="140"/>
      <c r="D38" s="140"/>
      <c r="E38" s="140"/>
      <c r="F38" s="140"/>
      <c r="G38" s="140"/>
      <c r="H38" s="140"/>
      <c r="I38" s="140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2">S39+S40+S43+S41+S42</f>
        <v>34618925.310000002</v>
      </c>
      <c r="T38" s="13">
        <f t="shared" si="72"/>
        <v>35367638.399999999</v>
      </c>
      <c r="U38" s="13">
        <f>U39+U40+U43</f>
        <v>33924709.399999999</v>
      </c>
      <c r="V38" s="13">
        <f t="shared" ref="V38:AB38" si="73">V39+V40+V43+V41+V42</f>
        <v>8490378.5300000012</v>
      </c>
      <c r="W38" s="13"/>
      <c r="X38" s="13">
        <f t="shared" si="73"/>
        <v>0</v>
      </c>
      <c r="Y38" s="13">
        <f t="shared" si="73"/>
        <v>8490378.5300000012</v>
      </c>
      <c r="Z38" s="13">
        <f t="shared" si="73"/>
        <v>25090600</v>
      </c>
      <c r="AA38" s="13">
        <f t="shared" si="73"/>
        <v>29480458</v>
      </c>
      <c r="AB38" s="13">
        <f t="shared" si="73"/>
        <v>8915288.8200000003</v>
      </c>
      <c r="AC38" s="13">
        <f t="shared" ref="AC38:AD38" si="74">AC39+AC40+AC43+AC41+AC42</f>
        <v>855156.62</v>
      </c>
      <c r="AD38" s="13">
        <f t="shared" si="74"/>
        <v>706250.28</v>
      </c>
      <c r="AE38" s="13">
        <v>8638045.1099999994</v>
      </c>
      <c r="AF38" s="13">
        <f>AF39+AF40+AF43+AF41+AF42</f>
        <v>9344295.3900000006</v>
      </c>
      <c r="AG38" s="13">
        <f t="shared" si="10"/>
        <v>-148906.33999999997</v>
      </c>
      <c r="AH38" s="44">
        <f t="shared" si="4"/>
        <v>-15746304.609999999</v>
      </c>
      <c r="AI38" s="44">
        <v>0</v>
      </c>
      <c r="AJ38" s="12">
        <f t="shared" si="11"/>
        <v>-20136162.609999999</v>
      </c>
      <c r="AK38" s="42">
        <f t="shared" si="18"/>
        <v>31.696574693649605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429006.5700000003</v>
      </c>
      <c r="AO38" s="42">
        <f t="shared" si="13"/>
        <v>104.81203221411732</v>
      </c>
      <c r="AP38" s="13">
        <f t="shared" si="14"/>
        <v>853916.8599999994</v>
      </c>
      <c r="AQ38" s="42">
        <f t="shared" si="35"/>
        <v>110.05746512929616</v>
      </c>
      <c r="AR38" s="12">
        <f t="shared" si="55"/>
        <v>-527388.58999999985</v>
      </c>
      <c r="AS38" s="12">
        <f t="shared" si="56"/>
        <v>94.657562062678593</v>
      </c>
      <c r="AT38" s="31">
        <f>AF38</f>
        <v>9344295.3900000006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91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120722.07</v>
      </c>
      <c r="W39" s="31"/>
      <c r="X39" s="31"/>
      <c r="Y39" s="31">
        <f>V39</f>
        <v>120722.07</v>
      </c>
      <c r="Z39" s="31">
        <v>360000</v>
      </c>
      <c r="AA39" s="31">
        <v>380458</v>
      </c>
      <c r="AB39" s="31">
        <v>71000</v>
      </c>
      <c r="AC39" s="31">
        <v>5755</v>
      </c>
      <c r="AD39" s="31">
        <v>17730</v>
      </c>
      <c r="AE39" s="31">
        <v>75036</v>
      </c>
      <c r="AF39" s="31">
        <f t="shared" si="23"/>
        <v>92766</v>
      </c>
      <c r="AG39" s="31">
        <f t="shared" si="10"/>
        <v>11975</v>
      </c>
      <c r="AH39" s="103">
        <f t="shared" si="4"/>
        <v>-267234</v>
      </c>
      <c r="AI39" s="103">
        <f>AF39/Z39*100</f>
        <v>25.768333333333331</v>
      </c>
      <c r="AJ39" s="31">
        <f t="shared" si="11"/>
        <v>-287692</v>
      </c>
      <c r="AK39" s="103">
        <f t="shared" si="18"/>
        <v>24.382717671858654</v>
      </c>
      <c r="AL39" s="31"/>
      <c r="AM39" s="31"/>
      <c r="AN39" s="103">
        <f t="shared" si="12"/>
        <v>21766</v>
      </c>
      <c r="AO39" s="103">
        <f t="shared" si="13"/>
        <v>130.65633802816902</v>
      </c>
      <c r="AP39" s="31">
        <f t="shared" si="14"/>
        <v>-27956.070000000007</v>
      </c>
      <c r="AQ39" s="103">
        <f t="shared" si="35"/>
        <v>76.842618752312646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92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5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6">T40</f>
        <v>33218079.799999997</v>
      </c>
      <c r="V40" s="31">
        <v>7970210.46</v>
      </c>
      <c r="W40" s="31"/>
      <c r="X40" s="31"/>
      <c r="Y40" s="31">
        <f>V40</f>
        <v>7970210.46</v>
      </c>
      <c r="Z40" s="31">
        <v>22830600</v>
      </c>
      <c r="AA40" s="31">
        <v>27500000</v>
      </c>
      <c r="AB40" s="31">
        <v>8589000</v>
      </c>
      <c r="AC40" s="31">
        <v>808961.62</v>
      </c>
      <c r="AD40" s="31">
        <v>641090.28</v>
      </c>
      <c r="AE40" s="31">
        <v>8010369.1100000003</v>
      </c>
      <c r="AF40" s="31">
        <f t="shared" si="23"/>
        <v>8651459.3900000006</v>
      </c>
      <c r="AG40" s="31">
        <f t="shared" si="10"/>
        <v>-167871.33999999997</v>
      </c>
      <c r="AH40" s="103">
        <f t="shared" si="4"/>
        <v>-14179140.609999999</v>
      </c>
      <c r="AI40" s="103">
        <f>AF40/Z40*100</f>
        <v>37.894139400628987</v>
      </c>
      <c r="AJ40" s="31">
        <f t="shared" si="11"/>
        <v>-18848540.609999999</v>
      </c>
      <c r="AK40" s="103">
        <f t="shared" si="18"/>
        <v>31.459852327272728</v>
      </c>
      <c r="AL40" s="31"/>
      <c r="AM40" s="31"/>
      <c r="AN40" s="103">
        <f t="shared" si="12"/>
        <v>62459.390000000596</v>
      </c>
      <c r="AO40" s="103">
        <f t="shared" si="13"/>
        <v>100.72720211898942</v>
      </c>
      <c r="AP40" s="31">
        <f t="shared" si="14"/>
        <v>681248.93000000063</v>
      </c>
      <c r="AQ40" s="103">
        <f t="shared" si="35"/>
        <v>108.54743966196345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93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394576</v>
      </c>
      <c r="W41" s="31"/>
      <c r="X41" s="31"/>
      <c r="Y41" s="31">
        <f t="shared" ref="Y41:Y42" si="77">V41</f>
        <v>394576</v>
      </c>
      <c r="Z41" s="31">
        <v>1400000</v>
      </c>
      <c r="AA41" s="31">
        <v>1400000</v>
      </c>
      <c r="AB41" s="31">
        <v>185288.82</v>
      </c>
      <c r="AC41" s="31">
        <v>23940</v>
      </c>
      <c r="AD41" s="31">
        <v>31080</v>
      </c>
      <c r="AE41" s="31">
        <v>457440</v>
      </c>
      <c r="AF41" s="31">
        <f t="shared" si="23"/>
        <v>488520</v>
      </c>
      <c r="AG41" s="31">
        <f t="shared" si="10"/>
        <v>7140</v>
      </c>
      <c r="AH41" s="103">
        <f t="shared" si="4"/>
        <v>-911480</v>
      </c>
      <c r="AI41" s="103">
        <f t="shared" ref="AI41:AI42" si="78">AF41/Z41*100</f>
        <v>34.894285714285715</v>
      </c>
      <c r="AJ41" s="31">
        <f t="shared" si="11"/>
        <v>-911480</v>
      </c>
      <c r="AK41" s="103">
        <f t="shared" si="18"/>
        <v>34.894285714285715</v>
      </c>
      <c r="AL41" s="31"/>
      <c r="AM41" s="31"/>
      <c r="AN41" s="103">
        <f t="shared" si="12"/>
        <v>303231.18</v>
      </c>
      <c r="AO41" s="103">
        <f t="shared" si="13"/>
        <v>263.65325225774552</v>
      </c>
      <c r="AP41" s="31">
        <f t="shared" si="14"/>
        <v>93944</v>
      </c>
      <c r="AQ41" s="103">
        <f t="shared" si="35"/>
        <v>123.80884797858967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94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7"/>
        <v>0</v>
      </c>
      <c r="Z42" s="31">
        <v>500000</v>
      </c>
      <c r="AA42" s="31">
        <v>200000</v>
      </c>
      <c r="AB42" s="31">
        <v>70000</v>
      </c>
      <c r="AC42" s="31">
        <v>16500</v>
      </c>
      <c r="AD42" s="31">
        <v>14100</v>
      </c>
      <c r="AE42" s="31">
        <v>89200</v>
      </c>
      <c r="AF42" s="31">
        <f t="shared" si="23"/>
        <v>103300</v>
      </c>
      <c r="AG42" s="31">
        <f t="shared" si="10"/>
        <v>-2400</v>
      </c>
      <c r="AH42" s="103">
        <f t="shared" si="4"/>
        <v>-396700</v>
      </c>
      <c r="AI42" s="103">
        <f t="shared" si="78"/>
        <v>20.66</v>
      </c>
      <c r="AJ42" s="31">
        <f t="shared" si="11"/>
        <v>-96700</v>
      </c>
      <c r="AK42" s="103">
        <f t="shared" si="18"/>
        <v>51.65</v>
      </c>
      <c r="AL42" s="31"/>
      <c r="AM42" s="31"/>
      <c r="AN42" s="103">
        <f t="shared" si="12"/>
        <v>33300</v>
      </c>
      <c r="AO42" s="103">
        <f t="shared" si="13"/>
        <v>147.57142857142858</v>
      </c>
      <c r="AP42" s="31">
        <f t="shared" si="14"/>
        <v>103300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95</v>
      </c>
      <c r="J43" s="31"/>
      <c r="K43" s="31"/>
      <c r="L43" s="31"/>
      <c r="M43" s="31"/>
      <c r="N43" s="31"/>
      <c r="O43" s="31">
        <v>0</v>
      </c>
      <c r="P43" s="31">
        <f t="shared" si="75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6"/>
        <v>68665.72</v>
      </c>
      <c r="V43" s="31">
        <v>4870</v>
      </c>
      <c r="W43" s="31"/>
      <c r="X43" s="31"/>
      <c r="Y43" s="31">
        <f>V43</f>
        <v>4870</v>
      </c>
      <c r="Z43" s="31">
        <v>0</v>
      </c>
      <c r="AA43" s="31">
        <v>0</v>
      </c>
      <c r="AB43" s="31">
        <v>0</v>
      </c>
      <c r="AC43" s="31">
        <v>0</v>
      </c>
      <c r="AD43" s="31">
        <v>2250</v>
      </c>
      <c r="AE43" s="31">
        <v>6000</v>
      </c>
      <c r="AF43" s="31">
        <f t="shared" si="23"/>
        <v>8250</v>
      </c>
      <c r="AG43" s="31">
        <f t="shared" si="10"/>
        <v>2250</v>
      </c>
      <c r="AH43" s="103">
        <f t="shared" si="4"/>
        <v>8250</v>
      </c>
      <c r="AI43" s="103">
        <v>0</v>
      </c>
      <c r="AJ43" s="31">
        <f t="shared" si="11"/>
        <v>8250</v>
      </c>
      <c r="AK43" s="103">
        <v>100</v>
      </c>
      <c r="AL43" s="31"/>
      <c r="AM43" s="31"/>
      <c r="AN43" s="103">
        <f t="shared" si="12"/>
        <v>8250</v>
      </c>
      <c r="AO43" s="103">
        <v>0</v>
      </c>
      <c r="AP43" s="31">
        <f t="shared" si="14"/>
        <v>3380</v>
      </c>
      <c r="AQ43" s="103">
        <f t="shared" si="35"/>
        <v>169.40451745379875</v>
      </c>
      <c r="AR43" s="12"/>
      <c r="AS43" s="12"/>
      <c r="AT43" s="31"/>
    </row>
    <row r="44" spans="1:47" s="5" customFormat="1" ht="28.5" hidden="1" customHeight="1" x14ac:dyDescent="0.3">
      <c r="A44" s="4"/>
      <c r="B44" s="140" t="s">
        <v>12</v>
      </c>
      <c r="C44" s="140"/>
      <c r="D44" s="140"/>
      <c r="E44" s="140"/>
      <c r="F44" s="140"/>
      <c r="G44" s="140"/>
      <c r="H44" s="140"/>
      <c r="I44" s="140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133854.66</v>
      </c>
      <c r="W44" s="13"/>
      <c r="X44" s="13"/>
      <c r="Y44" s="13">
        <f>V44</f>
        <v>133854.66</v>
      </c>
      <c r="Z44" s="13"/>
      <c r="AA44" s="13">
        <v>0</v>
      </c>
      <c r="AB44" s="13">
        <v>0</v>
      </c>
      <c r="AC44" s="13">
        <v>3293.62</v>
      </c>
      <c r="AD44" s="13">
        <v>0</v>
      </c>
      <c r="AE44" s="13">
        <v>3293.62</v>
      </c>
      <c r="AF44" s="13">
        <f t="shared" si="23"/>
        <v>3293.62</v>
      </c>
      <c r="AG44" s="13">
        <f t="shared" si="10"/>
        <v>-3293.62</v>
      </c>
      <c r="AH44" s="44">
        <f t="shared" si="4"/>
        <v>3293.62</v>
      </c>
      <c r="AI44" s="44">
        <v>0</v>
      </c>
      <c r="AJ44" s="13">
        <f t="shared" si="11"/>
        <v>3293.62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3293.62</v>
      </c>
      <c r="AO44" s="115">
        <v>0</v>
      </c>
      <c r="AP44" s="13">
        <f t="shared" si="14"/>
        <v>-130561.04000000001</v>
      </c>
      <c r="AQ44" s="115">
        <f t="shared" si="35"/>
        <v>2.4605941997088481</v>
      </c>
      <c r="AR44" s="12">
        <f t="shared" ref="AR44:AR59" si="79">AF44-M44</f>
        <v>-621153.86</v>
      </c>
      <c r="AS44" s="12">
        <f t="shared" ref="AS44:AS59" si="80">IF(M44=0,0,AF44/M44*100)</f>
        <v>0.52744547868140967</v>
      </c>
      <c r="AT44" s="31">
        <f>AF44</f>
        <v>3293.62</v>
      </c>
    </row>
    <row r="45" spans="1:47" s="10" customFormat="1" ht="60" hidden="1" customHeight="1" x14ac:dyDescent="0.3">
      <c r="A45" s="9"/>
      <c r="B45" s="123" t="s">
        <v>11</v>
      </c>
      <c r="C45" s="123"/>
      <c r="D45" s="123"/>
      <c r="E45" s="123"/>
      <c r="F45" s="123"/>
      <c r="G45" s="123"/>
      <c r="H45" s="123"/>
      <c r="I45" s="123"/>
      <c r="J45" s="12">
        <f t="shared" ref="J45:AF45" si="81">J46+J47</f>
        <v>4290634.29</v>
      </c>
      <c r="K45" s="12">
        <f t="shared" si="81"/>
        <v>4290634.29</v>
      </c>
      <c r="L45" s="12">
        <f t="shared" si="81"/>
        <v>3198289.13</v>
      </c>
      <c r="M45" s="12">
        <f t="shared" si="81"/>
        <v>3198289.13</v>
      </c>
      <c r="N45" s="12">
        <f t="shared" si="81"/>
        <v>3516712.9</v>
      </c>
      <c r="O45" s="12">
        <f t="shared" si="81"/>
        <v>4112775.06</v>
      </c>
      <c r="P45" s="12">
        <f t="shared" si="81"/>
        <v>4112775.06</v>
      </c>
      <c r="Q45" s="12">
        <v>4112775.06</v>
      </c>
      <c r="R45" s="12">
        <f t="shared" si="81"/>
        <v>4112775.06</v>
      </c>
      <c r="S45" s="12">
        <f t="shared" si="81"/>
        <v>1171237.6000000001</v>
      </c>
      <c r="T45" s="12">
        <f t="shared" si="81"/>
        <v>2218931.5799999996</v>
      </c>
      <c r="U45" s="12">
        <f t="shared" si="81"/>
        <v>2218931.5799999996</v>
      </c>
      <c r="V45" s="12">
        <f t="shared" si="81"/>
        <v>390341.44</v>
      </c>
      <c r="W45" s="12"/>
      <c r="X45" s="12">
        <f t="shared" si="81"/>
        <v>0</v>
      </c>
      <c r="Y45" s="12">
        <f t="shared" si="81"/>
        <v>390341.44</v>
      </c>
      <c r="Z45" s="12">
        <f t="shared" si="81"/>
        <v>132000</v>
      </c>
      <c r="AA45" s="12">
        <f t="shared" si="81"/>
        <v>132000</v>
      </c>
      <c r="AB45" s="12">
        <f t="shared" si="81"/>
        <v>132000</v>
      </c>
      <c r="AC45" s="12">
        <f t="shared" ref="AC45:AD45" si="82">AC46+AC47</f>
        <v>0</v>
      </c>
      <c r="AD45" s="12">
        <f t="shared" si="82"/>
        <v>0</v>
      </c>
      <c r="AE45" s="12">
        <v>391172.12</v>
      </c>
      <c r="AF45" s="12">
        <f t="shared" si="81"/>
        <v>391172.12</v>
      </c>
      <c r="AG45" s="12">
        <f t="shared" si="10"/>
        <v>0</v>
      </c>
      <c r="AH45" s="44">
        <f t="shared" si="4"/>
        <v>259172.12</v>
      </c>
      <c r="AI45" s="44">
        <f t="shared" ref="AI45:AI58" si="83">AF45/Z45*100</f>
        <v>296.34251515151516</v>
      </c>
      <c r="AJ45" s="12">
        <f t="shared" si="11"/>
        <v>259172.12</v>
      </c>
      <c r="AK45" s="44">
        <f t="shared" si="18"/>
        <v>296.34251515151516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259172.12</v>
      </c>
      <c r="AO45" s="44">
        <v>0</v>
      </c>
      <c r="AP45" s="12">
        <f t="shared" si="14"/>
        <v>830.67999999999302</v>
      </c>
      <c r="AQ45" s="44">
        <f t="shared" si="35"/>
        <v>100.21280856062835</v>
      </c>
      <c r="AR45" s="12">
        <f t="shared" si="79"/>
        <v>-2807117.01</v>
      </c>
      <c r="AS45" s="12">
        <f t="shared" si="80"/>
        <v>12.230667838338931</v>
      </c>
      <c r="AT45" s="34">
        <f t="shared" ref="AT45" si="84">AT46+AT47</f>
        <v>391172.12</v>
      </c>
    </row>
    <row r="46" spans="1:47" s="5" customFormat="1" ht="63" hidden="1" customHeight="1" x14ac:dyDescent="0.3">
      <c r="A46" s="4"/>
      <c r="B46" s="140" t="s">
        <v>37</v>
      </c>
      <c r="C46" s="140"/>
      <c r="D46" s="140"/>
      <c r="E46" s="140"/>
      <c r="F46" s="140"/>
      <c r="G46" s="140"/>
      <c r="H46" s="140"/>
      <c r="I46" s="140"/>
      <c r="J46" s="13">
        <v>163530</v>
      </c>
      <c r="K46" s="13">
        <f t="shared" ref="K46:K49" si="85">J46</f>
        <v>163530</v>
      </c>
      <c r="L46" s="13">
        <v>0</v>
      </c>
      <c r="M46" s="13">
        <f t="shared" ref="M46:M49" si="86">L46</f>
        <v>0</v>
      </c>
      <c r="N46" s="13">
        <v>762433</v>
      </c>
      <c r="O46" s="13">
        <v>763713</v>
      </c>
      <c r="P46" s="13">
        <f t="shared" ref="P46:P49" si="87">O46</f>
        <v>763713</v>
      </c>
      <c r="Q46" s="13">
        <v>763713</v>
      </c>
      <c r="R46" s="13">
        <f t="shared" ref="R46:R48" si="88">Q46</f>
        <v>763713</v>
      </c>
      <c r="S46" s="13">
        <v>5228.8</v>
      </c>
      <c r="T46" s="13">
        <v>5228.8</v>
      </c>
      <c r="U46" s="13">
        <f t="shared" ref="U46:U49" si="89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3"/>
        <v>0</v>
      </c>
      <c r="AG46" s="13">
        <f t="shared" si="10"/>
        <v>0</v>
      </c>
      <c r="AH46" s="44">
        <f t="shared" si="4"/>
        <v>-132000</v>
      </c>
      <c r="AI46" s="44">
        <f t="shared" si="83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-5228.8</v>
      </c>
      <c r="AQ46" s="42">
        <f t="shared" si="35"/>
        <v>0</v>
      </c>
      <c r="AR46" s="12">
        <f t="shared" si="79"/>
        <v>0</v>
      </c>
      <c r="AS46" s="12">
        <f t="shared" si="80"/>
        <v>0</v>
      </c>
      <c r="AT46" s="31">
        <f>AF46</f>
        <v>0</v>
      </c>
    </row>
    <row r="47" spans="1:47" s="5" customFormat="1" ht="65.25" hidden="1" customHeight="1" x14ac:dyDescent="0.3">
      <c r="A47" s="4"/>
      <c r="B47" s="140" t="s">
        <v>10</v>
      </c>
      <c r="C47" s="140"/>
      <c r="D47" s="140"/>
      <c r="E47" s="140"/>
      <c r="F47" s="140"/>
      <c r="G47" s="140"/>
      <c r="H47" s="140"/>
      <c r="I47" s="140"/>
      <c r="J47" s="13">
        <v>4127104.29</v>
      </c>
      <c r="K47" s="13">
        <f t="shared" si="85"/>
        <v>4127104.29</v>
      </c>
      <c r="L47" s="13">
        <v>3198289.13</v>
      </c>
      <c r="M47" s="13">
        <f t="shared" si="86"/>
        <v>3198289.13</v>
      </c>
      <c r="N47" s="13">
        <v>2754279.9</v>
      </c>
      <c r="O47" s="13">
        <v>3349062.06</v>
      </c>
      <c r="P47" s="13">
        <f t="shared" si="87"/>
        <v>3349062.06</v>
      </c>
      <c r="Q47" s="13">
        <v>3349062.06</v>
      </c>
      <c r="R47" s="13">
        <f t="shared" si="88"/>
        <v>3349062.06</v>
      </c>
      <c r="S47" s="13">
        <v>1166008.8</v>
      </c>
      <c r="T47" s="13">
        <v>2213702.7799999998</v>
      </c>
      <c r="U47" s="13">
        <f t="shared" si="89"/>
        <v>2213702.7799999998</v>
      </c>
      <c r="V47" s="13">
        <v>385112.64</v>
      </c>
      <c r="W47" s="13"/>
      <c r="X47" s="13"/>
      <c r="Y47" s="13">
        <f>V47</f>
        <v>385112.64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391172.12</v>
      </c>
      <c r="AF47" s="13">
        <f t="shared" si="23"/>
        <v>391172.12</v>
      </c>
      <c r="AG47" s="13">
        <f t="shared" si="10"/>
        <v>0</v>
      </c>
      <c r="AH47" s="44">
        <f t="shared" si="4"/>
        <v>391172.12</v>
      </c>
      <c r="AI47" s="44">
        <v>0</v>
      </c>
      <c r="AJ47" s="13">
        <f t="shared" si="11"/>
        <v>259172.12</v>
      </c>
      <c r="AK47" s="42">
        <f>AF47/AA47%</f>
        <v>296.34251515151516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259172.12</v>
      </c>
      <c r="AO47" s="42">
        <f t="shared" si="13"/>
        <v>296.34251515151516</v>
      </c>
      <c r="AP47" s="13">
        <f t="shared" si="14"/>
        <v>6059.4799999999814</v>
      </c>
      <c r="AQ47" s="42">
        <f t="shared" si="35"/>
        <v>101.57343056826178</v>
      </c>
      <c r="AR47" s="12">
        <f t="shared" si="79"/>
        <v>-2807117.01</v>
      </c>
      <c r="AS47" s="12">
        <f t="shared" si="80"/>
        <v>12.230667838338931</v>
      </c>
      <c r="AT47" s="31">
        <f>AF47</f>
        <v>391172.12</v>
      </c>
      <c r="AU47" s="86"/>
    </row>
    <row r="48" spans="1:47" s="10" customFormat="1" ht="39.75" hidden="1" customHeight="1" x14ac:dyDescent="0.3">
      <c r="A48" s="9"/>
      <c r="B48" s="123" t="s">
        <v>9</v>
      </c>
      <c r="C48" s="123"/>
      <c r="D48" s="123"/>
      <c r="E48" s="123"/>
      <c r="F48" s="123"/>
      <c r="G48" s="123"/>
      <c r="H48" s="123"/>
      <c r="I48" s="123"/>
      <c r="J48" s="12">
        <v>2338187.02</v>
      </c>
      <c r="K48" s="12">
        <f t="shared" si="85"/>
        <v>2338187.02</v>
      </c>
      <c r="L48" s="12">
        <v>974257.27</v>
      </c>
      <c r="M48" s="12">
        <f t="shared" si="86"/>
        <v>974257.27</v>
      </c>
      <c r="N48" s="12">
        <v>2799320.03</v>
      </c>
      <c r="O48" s="12">
        <v>3055345.14</v>
      </c>
      <c r="P48" s="12">
        <f t="shared" si="87"/>
        <v>3055345.14</v>
      </c>
      <c r="Q48" s="12">
        <v>3055345.14</v>
      </c>
      <c r="R48" s="12">
        <f t="shared" si="88"/>
        <v>3055345.14</v>
      </c>
      <c r="S48" s="12">
        <v>2239812</v>
      </c>
      <c r="T48" s="12">
        <v>2273274.8299999996</v>
      </c>
      <c r="U48" s="12">
        <f t="shared" si="89"/>
        <v>2273274.8299999996</v>
      </c>
      <c r="V48" s="12">
        <v>326976.94</v>
      </c>
      <c r="W48" s="12"/>
      <c r="X48" s="12"/>
      <c r="Y48" s="12">
        <f>V48</f>
        <v>326976.94</v>
      </c>
      <c r="Z48" s="12">
        <v>1249470</v>
      </c>
      <c r="AA48" s="12">
        <v>1147080</v>
      </c>
      <c r="AB48" s="12">
        <v>202877.23</v>
      </c>
      <c r="AC48" s="12">
        <v>3150</v>
      </c>
      <c r="AD48" s="12">
        <v>27226.49</v>
      </c>
      <c r="AE48" s="12">
        <v>243474.2</v>
      </c>
      <c r="AF48" s="12">
        <f t="shared" si="23"/>
        <v>270700.69</v>
      </c>
      <c r="AG48" s="12">
        <f t="shared" si="10"/>
        <v>24076.49</v>
      </c>
      <c r="AH48" s="44">
        <f t="shared" si="4"/>
        <v>-978769.31</v>
      </c>
      <c r="AI48" s="44">
        <f t="shared" si="83"/>
        <v>21.665241262295211</v>
      </c>
      <c r="AJ48" s="12">
        <f t="shared" si="11"/>
        <v>-876379.31</v>
      </c>
      <c r="AK48" s="44">
        <f t="shared" si="18"/>
        <v>23.599111657425812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67823.459999999992</v>
      </c>
      <c r="AO48" s="44">
        <f t="shared" si="13"/>
        <v>133.43078964554081</v>
      </c>
      <c r="AP48" s="12">
        <f t="shared" si="14"/>
        <v>-56276.25</v>
      </c>
      <c r="AQ48" s="44">
        <f t="shared" si="35"/>
        <v>82.788923891697067</v>
      </c>
      <c r="AR48" s="12">
        <f t="shared" si="79"/>
        <v>-703556.58000000007</v>
      </c>
      <c r="AS48" s="12">
        <f t="shared" si="80"/>
        <v>27.785339492514126</v>
      </c>
      <c r="AT48" s="34">
        <f>AF48</f>
        <v>270700.69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5"/>
        <v>256536.06</v>
      </c>
      <c r="L49" s="16">
        <v>109317.03</v>
      </c>
      <c r="M49" s="16">
        <f t="shared" si="86"/>
        <v>109317.03</v>
      </c>
      <c r="N49" s="16">
        <v>210726.7</v>
      </c>
      <c r="O49" s="25">
        <f>221100.64+0.02+606.42</f>
        <v>221707.08000000002</v>
      </c>
      <c r="P49" s="16">
        <f t="shared" si="87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9"/>
        <v>278352.34000000003</v>
      </c>
      <c r="V49" s="25">
        <v>46724.25</v>
      </c>
      <c r="W49" s="25"/>
      <c r="X49" s="25"/>
      <c r="Y49" s="16">
        <f>V49</f>
        <v>46724.25</v>
      </c>
      <c r="Z49" s="25">
        <v>336190</v>
      </c>
      <c r="AA49" s="25">
        <v>159900</v>
      </c>
      <c r="AB49" s="25">
        <v>27737</v>
      </c>
      <c r="AC49" s="25">
        <v>2000</v>
      </c>
      <c r="AD49" s="25">
        <v>5339.98</v>
      </c>
      <c r="AE49" s="25">
        <v>23776.46</v>
      </c>
      <c r="AF49" s="25">
        <f t="shared" si="23"/>
        <v>29116.44</v>
      </c>
      <c r="AG49" s="16">
        <f t="shared" si="10"/>
        <v>3339.9799999999996</v>
      </c>
      <c r="AH49" s="44">
        <f t="shared" si="4"/>
        <v>-307073.56</v>
      </c>
      <c r="AI49" s="44">
        <f t="shared" si="83"/>
        <v>8.660709717719147</v>
      </c>
      <c r="AJ49" s="12">
        <f t="shared" si="11"/>
        <v>-130783.56</v>
      </c>
      <c r="AK49" s="42">
        <f t="shared" si="18"/>
        <v>18.209155722326454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1379.4399999999987</v>
      </c>
      <c r="AO49" s="42">
        <f t="shared" si="13"/>
        <v>104.97328478206005</v>
      </c>
      <c r="AP49" s="13">
        <f t="shared" si="14"/>
        <v>-17607.810000000001</v>
      </c>
      <c r="AQ49" s="42">
        <f t="shared" si="35"/>
        <v>62.315478579110419</v>
      </c>
      <c r="AR49" s="12">
        <f t="shared" si="79"/>
        <v>-80200.59</v>
      </c>
      <c r="AS49" s="12">
        <f t="shared" si="80"/>
        <v>26.634861924075327</v>
      </c>
      <c r="AT49" s="31">
        <f>AF49</f>
        <v>29116.44</v>
      </c>
      <c r="AV49" s="25"/>
    </row>
    <row r="50" spans="1:48" s="10" customFormat="1" ht="36.75" hidden="1" customHeight="1" x14ac:dyDescent="0.3">
      <c r="A50" s="9"/>
      <c r="B50" s="123" t="s">
        <v>7</v>
      </c>
      <c r="C50" s="123"/>
      <c r="D50" s="123"/>
      <c r="E50" s="123"/>
      <c r="F50" s="123"/>
      <c r="G50" s="123"/>
      <c r="H50" s="123"/>
      <c r="I50" s="123"/>
      <c r="J50" s="12">
        <f t="shared" ref="J50:P50" si="90">J51+J53</f>
        <v>1294662.3799999999</v>
      </c>
      <c r="K50" s="12">
        <f t="shared" si="90"/>
        <v>4238232.71</v>
      </c>
      <c r="L50" s="12">
        <f t="shared" si="90"/>
        <v>389278.05</v>
      </c>
      <c r="M50" s="12">
        <f t="shared" si="90"/>
        <v>2292612.0699999998</v>
      </c>
      <c r="N50" s="12">
        <f t="shared" si="90"/>
        <v>2895802</v>
      </c>
      <c r="O50" s="12">
        <f t="shared" si="90"/>
        <v>4075696.4</v>
      </c>
      <c r="P50" s="12">
        <f t="shared" si="90"/>
        <v>4075696.4</v>
      </c>
      <c r="Q50" s="12">
        <v>4075696.4</v>
      </c>
      <c r="R50" s="12">
        <f t="shared" ref="R50" si="91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2">U51+U52+U53</f>
        <v>5495063.3199999994</v>
      </c>
      <c r="V50" s="12">
        <f t="shared" si="92"/>
        <v>3174471.72</v>
      </c>
      <c r="W50" s="12">
        <f t="shared" si="92"/>
        <v>0</v>
      </c>
      <c r="X50" s="12">
        <f t="shared" si="92"/>
        <v>0</v>
      </c>
      <c r="Y50" s="12">
        <f t="shared" si="92"/>
        <v>3174471.72</v>
      </c>
      <c r="Z50" s="12">
        <f t="shared" ref="Z50:AB50" si="93">Z51+Z53</f>
        <v>2715689.65</v>
      </c>
      <c r="AA50" s="12">
        <f t="shared" si="93"/>
        <v>2943570.33</v>
      </c>
      <c r="AB50" s="12">
        <f t="shared" si="93"/>
        <v>2943570.33</v>
      </c>
      <c r="AC50" s="12">
        <f>AC51+AC52+AC53</f>
        <v>614809.56999999995</v>
      </c>
      <c r="AD50" s="12">
        <f>AD51+AD52+AD53</f>
        <v>264813.93</v>
      </c>
      <c r="AE50" s="12">
        <v>1708125.09</v>
      </c>
      <c r="AF50" s="12">
        <f>AF51+AF52+AF53</f>
        <v>1972939.02</v>
      </c>
      <c r="AG50" s="12">
        <f t="shared" si="10"/>
        <v>-349995.63999999996</v>
      </c>
      <c r="AH50" s="44">
        <f t="shared" si="4"/>
        <v>-742750.62999999989</v>
      </c>
      <c r="AI50" s="44">
        <f t="shared" si="83"/>
        <v>72.64964978601293</v>
      </c>
      <c r="AJ50" s="12">
        <f t="shared" si="11"/>
        <v>-970631.31</v>
      </c>
      <c r="AK50" s="44">
        <f t="shared" si="18"/>
        <v>67.025373910464708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-970631.31</v>
      </c>
      <c r="AO50" s="44">
        <f t="shared" si="13"/>
        <v>67.025373910464708</v>
      </c>
      <c r="AP50" s="12">
        <f t="shared" si="14"/>
        <v>-1201532.7000000002</v>
      </c>
      <c r="AQ50" s="44">
        <f t="shared" si="35"/>
        <v>62.150152655951203</v>
      </c>
      <c r="AR50" s="12">
        <f t="shared" si="79"/>
        <v>-319673.04999999981</v>
      </c>
      <c r="AS50" s="12">
        <f t="shared" si="80"/>
        <v>86.056382840207249</v>
      </c>
      <c r="AT50" s="34">
        <f t="shared" ref="AT50" si="94">AT51+AT53</f>
        <v>4355552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79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-31269.63</v>
      </c>
      <c r="W51" s="13"/>
      <c r="X51" s="13"/>
      <c r="Y51" s="13">
        <f>V51</f>
        <v>-31269.63</v>
      </c>
      <c r="Z51" s="13">
        <v>0</v>
      </c>
      <c r="AA51" s="13">
        <v>0</v>
      </c>
      <c r="AB51" s="13">
        <v>0</v>
      </c>
      <c r="AC51" s="114">
        <v>-4940.43</v>
      </c>
      <c r="AD51" s="114">
        <v>0</v>
      </c>
      <c r="AE51" s="13">
        <v>0</v>
      </c>
      <c r="AF51" s="13">
        <f t="shared" si="23"/>
        <v>0</v>
      </c>
      <c r="AG51" s="16">
        <f t="shared" si="10"/>
        <v>4940.43</v>
      </c>
      <c r="AH51" s="44">
        <f t="shared" si="4"/>
        <v>0</v>
      </c>
      <c r="AI51" s="44">
        <v>0</v>
      </c>
      <c r="AJ51" s="13">
        <f t="shared" si="11"/>
        <v>0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0</v>
      </c>
      <c r="AO51" s="42">
        <v>0</v>
      </c>
      <c r="AP51" s="13">
        <f t="shared" si="14"/>
        <v>31269.63</v>
      </c>
      <c r="AQ51" s="42">
        <f t="shared" si="35"/>
        <v>0</v>
      </c>
      <c r="AR51" s="12">
        <f t="shared" si="79"/>
        <v>-389278.05</v>
      </c>
      <c r="AS51" s="12">
        <f t="shared" si="80"/>
        <v>0</v>
      </c>
      <c r="AT51" s="31">
        <f>AF51</f>
        <v>0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80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5">T52</f>
        <v>155286.9</v>
      </c>
      <c r="V52" s="13">
        <v>61336.9</v>
      </c>
      <c r="W52" s="13"/>
      <c r="X52" s="13"/>
      <c r="Y52" s="13">
        <f t="shared" ref="Y52:Y53" si="96">V52</f>
        <v>61336.9</v>
      </c>
      <c r="Z52" s="13"/>
      <c r="AA52" s="13">
        <v>0</v>
      </c>
      <c r="AB52" s="13">
        <v>0</v>
      </c>
      <c r="AC52" s="114">
        <v>400</v>
      </c>
      <c r="AD52" s="114">
        <v>1000</v>
      </c>
      <c r="AE52" s="13">
        <v>68605</v>
      </c>
      <c r="AF52" s="13">
        <f t="shared" si="23"/>
        <v>69605</v>
      </c>
      <c r="AG52" s="16">
        <f t="shared" si="10"/>
        <v>600</v>
      </c>
      <c r="AH52" s="44"/>
      <c r="AI52" s="44"/>
      <c r="AJ52" s="13">
        <f t="shared" si="11"/>
        <v>69605</v>
      </c>
      <c r="AK52" s="42">
        <v>100</v>
      </c>
      <c r="AL52" s="13"/>
      <c r="AM52" s="13"/>
      <c r="AN52" s="42">
        <f t="shared" si="12"/>
        <v>69605</v>
      </c>
      <c r="AO52" s="42">
        <v>0</v>
      </c>
      <c r="AP52" s="13">
        <f t="shared" si="14"/>
        <v>8268.0999999999985</v>
      </c>
      <c r="AQ52" s="44">
        <f t="shared" si="35"/>
        <v>113.47981394560207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2943570.33</v>
      </c>
      <c r="L53" s="13">
        <v>0</v>
      </c>
      <c r="M53" s="37">
        <f>AF53</f>
        <v>1903334.02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5"/>
        <v>5381046.0499999998</v>
      </c>
      <c r="V53" s="13">
        <v>3144404.45</v>
      </c>
      <c r="W53" s="13"/>
      <c r="X53" s="13"/>
      <c r="Y53" s="13">
        <f t="shared" si="96"/>
        <v>3144404.45</v>
      </c>
      <c r="Z53" s="13">
        <v>2715689.65</v>
      </c>
      <c r="AA53" s="13">
        <v>2943570.33</v>
      </c>
      <c r="AB53" s="13">
        <v>2943570.33</v>
      </c>
      <c r="AC53" s="13">
        <v>619350</v>
      </c>
      <c r="AD53" s="13">
        <v>263813.93</v>
      </c>
      <c r="AE53" s="13">
        <v>1639520.09</v>
      </c>
      <c r="AF53" s="13">
        <f t="shared" si="23"/>
        <v>1903334.02</v>
      </c>
      <c r="AG53" s="16">
        <f t="shared" si="10"/>
        <v>-355536.07</v>
      </c>
      <c r="AH53" s="44">
        <f t="shared" si="4"/>
        <v>-812355.62999999989</v>
      </c>
      <c r="AI53" s="44">
        <f t="shared" si="83"/>
        <v>70.086580769639866</v>
      </c>
      <c r="AJ53" s="13">
        <f t="shared" si="11"/>
        <v>-1040236.31</v>
      </c>
      <c r="AK53" s="42">
        <f t="shared" si="18"/>
        <v>64.660728524193274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-1040236.31</v>
      </c>
      <c r="AO53" s="42">
        <f t="shared" si="13"/>
        <v>64.660728524193274</v>
      </c>
      <c r="AP53" s="13">
        <f t="shared" si="14"/>
        <v>-1241070.4300000002</v>
      </c>
      <c r="AQ53" s="42">
        <f t="shared" si="35"/>
        <v>60.530827069653839</v>
      </c>
      <c r="AR53" s="12">
        <f t="shared" si="79"/>
        <v>0</v>
      </c>
      <c r="AS53" s="12">
        <f t="shared" si="80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3" t="s">
        <v>1</v>
      </c>
      <c r="C54" s="123"/>
      <c r="D54" s="123"/>
      <c r="E54" s="123"/>
      <c r="F54" s="123"/>
      <c r="G54" s="123"/>
      <c r="H54" s="123"/>
      <c r="I54" s="123"/>
      <c r="J54" s="12">
        <f t="shared" ref="J54:R54" si="97">J55+J56+J57+J58+J59+J61+J62</f>
        <v>1731743649.9200001</v>
      </c>
      <c r="K54" s="12">
        <f t="shared" si="97"/>
        <v>1726065816.5200002</v>
      </c>
      <c r="L54" s="26">
        <f t="shared" si="97"/>
        <v>754564037.68999994</v>
      </c>
      <c r="M54" s="26">
        <f t="shared" si="97"/>
        <v>750829669.28999996</v>
      </c>
      <c r="N54" s="12">
        <f t="shared" si="97"/>
        <v>1949401304.4499998</v>
      </c>
      <c r="O54" s="12">
        <f t="shared" si="97"/>
        <v>1942881158.9100001</v>
      </c>
      <c r="P54" s="12">
        <f t="shared" si="97"/>
        <v>1942881158.9100001</v>
      </c>
      <c r="Q54" s="12">
        <v>1942881158.9100001</v>
      </c>
      <c r="R54" s="12">
        <f t="shared" si="97"/>
        <v>1942881158.9100001</v>
      </c>
      <c r="S54" s="12">
        <f t="shared" ref="S54:AB54" si="98">S55+S56+S57+S58+S59+S60+S61+S62</f>
        <v>2058217674.4300001</v>
      </c>
      <c r="T54" s="12">
        <f t="shared" si="98"/>
        <v>2039899297.8500004</v>
      </c>
      <c r="U54" s="12">
        <f t="shared" si="98"/>
        <v>2039899297.8500004</v>
      </c>
      <c r="V54" s="12">
        <f t="shared" si="98"/>
        <v>428717698.95999992</v>
      </c>
      <c r="W54" s="12">
        <f t="shared" si="98"/>
        <v>0</v>
      </c>
      <c r="X54" s="12">
        <f t="shared" si="98"/>
        <v>0</v>
      </c>
      <c r="Y54" s="12">
        <f t="shared" si="98"/>
        <v>428717698.95999992</v>
      </c>
      <c r="Z54" s="12">
        <f t="shared" si="98"/>
        <v>1741578685.6100001</v>
      </c>
      <c r="AA54" s="12">
        <f t="shared" si="98"/>
        <v>1652639506.0899999</v>
      </c>
      <c r="AB54" s="12">
        <f t="shared" si="98"/>
        <v>408430269.12</v>
      </c>
      <c r="AC54" s="12">
        <f>AC55+AC56+AC57+AC58+AC59+AC60+AC61+AC62</f>
        <v>62123365.640000001</v>
      </c>
      <c r="AD54" s="12">
        <f>AD55+AD56+AD57+AD58+AD59+AD60+AD61+AD62</f>
        <v>21667597.23</v>
      </c>
      <c r="AE54" s="12">
        <v>290183339.27000004</v>
      </c>
      <c r="AF54" s="12">
        <f>AF55+AF56+AF57+AF58+AF59+AF60+AF61+AF62</f>
        <v>311850936.5</v>
      </c>
      <c r="AG54" s="12">
        <f t="shared" si="10"/>
        <v>-40455768.409999996</v>
      </c>
      <c r="AH54" s="44">
        <f t="shared" si="4"/>
        <v>-1429727749.1100001</v>
      </c>
      <c r="AI54" s="44">
        <f t="shared" si="83"/>
        <v>17.906221468872193</v>
      </c>
      <c r="AJ54" s="12">
        <f t="shared" si="11"/>
        <v>-1340788569.5899999</v>
      </c>
      <c r="AK54" s="44">
        <f t="shared" si="18"/>
        <v>18.869870613090448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-96579332.620000005</v>
      </c>
      <c r="AO54" s="44">
        <f t="shared" si="13"/>
        <v>76.353532066051585</v>
      </c>
      <c r="AP54" s="12">
        <f t="shared" si="14"/>
        <v>-116866762.45999992</v>
      </c>
      <c r="AQ54" s="44">
        <f t="shared" si="35"/>
        <v>72.740392397258191</v>
      </c>
      <c r="AR54" s="12">
        <f t="shared" si="79"/>
        <v>-438978732.78999996</v>
      </c>
      <c r="AS54" s="12">
        <f t="shared" si="80"/>
        <v>41.534178689940781</v>
      </c>
      <c r="AT54" s="34" t="e">
        <f t="shared" ref="AT54" si="99">AT55+AT56+AT57+AT58+AT59+AT61+AT62</f>
        <v>#REF!</v>
      </c>
    </row>
    <row r="55" spans="1:48" s="10" customFormat="1" ht="38.25" customHeight="1" x14ac:dyDescent="0.3">
      <c r="A55" s="9"/>
      <c r="B55" s="123" t="s">
        <v>6</v>
      </c>
      <c r="C55" s="123"/>
      <c r="D55" s="123"/>
      <c r="E55" s="123"/>
      <c r="F55" s="123"/>
      <c r="G55" s="123"/>
      <c r="H55" s="123"/>
      <c r="I55" s="123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0">O55</f>
        <v>436509000</v>
      </c>
      <c r="Q55" s="12">
        <v>436509000</v>
      </c>
      <c r="R55" s="12">
        <f t="shared" ref="R55:R62" si="101">Q55</f>
        <v>436509000</v>
      </c>
      <c r="S55" s="12">
        <v>543552380</v>
      </c>
      <c r="T55" s="12">
        <v>543552380</v>
      </c>
      <c r="U55" s="12">
        <f t="shared" ref="U55:U62" si="102">T55</f>
        <v>543552380</v>
      </c>
      <c r="V55" s="12">
        <v>135820500</v>
      </c>
      <c r="W55" s="12"/>
      <c r="X55" s="12"/>
      <c r="Y55" s="12">
        <f t="shared" ref="Y55:Y62" si="103">V55</f>
        <v>135820500</v>
      </c>
      <c r="Z55" s="12">
        <v>543282000</v>
      </c>
      <c r="AA55" s="12">
        <v>504630000</v>
      </c>
      <c r="AB55" s="34">
        <v>126157500</v>
      </c>
      <c r="AC55" s="12">
        <v>0</v>
      </c>
      <c r="AD55" s="12">
        <v>16595168</v>
      </c>
      <c r="AE55" s="12">
        <v>109562332</v>
      </c>
      <c r="AF55" s="12">
        <f t="shared" si="23"/>
        <v>126157500</v>
      </c>
      <c r="AG55" s="12">
        <f t="shared" si="10"/>
        <v>16595168</v>
      </c>
      <c r="AH55" s="44">
        <f t="shared" si="4"/>
        <v>-417124500</v>
      </c>
      <c r="AI55" s="44">
        <f t="shared" si="83"/>
        <v>23.221365699581433</v>
      </c>
      <c r="AJ55" s="12">
        <f t="shared" si="11"/>
        <v>-378472500</v>
      </c>
      <c r="AK55" s="44">
        <f t="shared" si="18"/>
        <v>25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0</v>
      </c>
      <c r="AO55" s="44">
        <f t="shared" si="13"/>
        <v>100</v>
      </c>
      <c r="AP55" s="12">
        <f t="shared" si="14"/>
        <v>-9663000</v>
      </c>
      <c r="AQ55" s="44">
        <f t="shared" si="35"/>
        <v>92.885462798325733</v>
      </c>
      <c r="AR55" s="12">
        <f t="shared" si="79"/>
        <v>-75331500</v>
      </c>
      <c r="AS55" s="12">
        <f t="shared" si="80"/>
        <v>62.612599198963714</v>
      </c>
      <c r="AT55" s="34">
        <v>436509000</v>
      </c>
    </row>
    <row r="56" spans="1:48" s="10" customFormat="1" ht="43.5" customHeight="1" x14ac:dyDescent="0.3">
      <c r="A56" s="9"/>
      <c r="B56" s="123" t="s">
        <v>5</v>
      </c>
      <c r="C56" s="123"/>
      <c r="D56" s="123"/>
      <c r="E56" s="123"/>
      <c r="F56" s="123"/>
      <c r="G56" s="123"/>
      <c r="H56" s="123"/>
      <c r="I56" s="123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0"/>
        <v>266680542.02000001</v>
      </c>
      <c r="Q56" s="12">
        <v>266680542.02000001</v>
      </c>
      <c r="R56" s="12">
        <f t="shared" si="101"/>
        <v>266680542.02000001</v>
      </c>
      <c r="S56" s="12">
        <v>448087921.25</v>
      </c>
      <c r="T56" s="12">
        <v>432403468.83000004</v>
      </c>
      <c r="U56" s="12">
        <f t="shared" si="102"/>
        <v>432403468.83000004</v>
      </c>
      <c r="V56" s="12">
        <v>9114970.3499999996</v>
      </c>
      <c r="W56" s="12"/>
      <c r="X56" s="12"/>
      <c r="Y56" s="12">
        <f t="shared" si="103"/>
        <v>9114970.3499999996</v>
      </c>
      <c r="Z56" s="12">
        <v>164450526.09999999</v>
      </c>
      <c r="AA56" s="12">
        <v>304597569.80000001</v>
      </c>
      <c r="AB56" s="12">
        <v>30191190.68</v>
      </c>
      <c r="AC56" s="12">
        <v>894433.23</v>
      </c>
      <c r="AD56" s="12">
        <v>2667913.46</v>
      </c>
      <c r="AE56" s="12">
        <v>7454423.2599999998</v>
      </c>
      <c r="AF56" s="12">
        <f t="shared" si="23"/>
        <v>10122336.719999999</v>
      </c>
      <c r="AG56" s="12">
        <f t="shared" si="10"/>
        <v>1773480.23</v>
      </c>
      <c r="AH56" s="44">
        <f t="shared" si="4"/>
        <v>-154328189.38</v>
      </c>
      <c r="AI56" s="44">
        <f t="shared" si="83"/>
        <v>6.1552473926685716</v>
      </c>
      <c r="AJ56" s="12">
        <f t="shared" si="11"/>
        <v>-294475233.08000004</v>
      </c>
      <c r="AK56" s="44">
        <f t="shared" si="18"/>
        <v>3.323183676956571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-20068853.960000001</v>
      </c>
      <c r="AO56" s="44">
        <f t="shared" si="13"/>
        <v>33.527451193587702</v>
      </c>
      <c r="AP56" s="12">
        <f t="shared" si="14"/>
        <v>1007366.3699999992</v>
      </c>
      <c r="AQ56" s="44">
        <f t="shared" si="35"/>
        <v>111.05177890128846</v>
      </c>
      <c r="AR56" s="12">
        <f t="shared" si="79"/>
        <v>-58129847.379999995</v>
      </c>
      <c r="AS56" s="12">
        <f t="shared" si="80"/>
        <v>14.830787986460933</v>
      </c>
      <c r="AT56" s="34" t="e">
        <f>#REF!</f>
        <v>#REF!</v>
      </c>
    </row>
    <row r="57" spans="1:48" s="10" customFormat="1" ht="45" customHeight="1" x14ac:dyDescent="0.3">
      <c r="A57" s="9"/>
      <c r="B57" s="123" t="s">
        <v>4</v>
      </c>
      <c r="C57" s="123"/>
      <c r="D57" s="123"/>
      <c r="E57" s="123"/>
      <c r="F57" s="123"/>
      <c r="G57" s="123"/>
      <c r="H57" s="123"/>
      <c r="I57" s="123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0"/>
        <v>1213354064.45</v>
      </c>
      <c r="Q57" s="12">
        <v>1213354064.45</v>
      </c>
      <c r="R57" s="12">
        <f t="shared" si="101"/>
        <v>1213354064.45</v>
      </c>
      <c r="S57" s="12">
        <v>1052485113.04</v>
      </c>
      <c r="T57" s="12">
        <v>1050017221.74</v>
      </c>
      <c r="U57" s="12">
        <f t="shared" si="102"/>
        <v>1050017221.74</v>
      </c>
      <c r="V57" s="12">
        <v>282990023.89999998</v>
      </c>
      <c r="W57" s="12"/>
      <c r="X57" s="12"/>
      <c r="Y57" s="12">
        <f t="shared" si="103"/>
        <v>282990023.89999998</v>
      </c>
      <c r="Z57" s="12">
        <v>1032066181.7</v>
      </c>
      <c r="AA57" s="12">
        <v>841614535.71000004</v>
      </c>
      <c r="AB57" s="12">
        <v>251628884.74000001</v>
      </c>
      <c r="AC57" s="12">
        <v>6755423.4000000004</v>
      </c>
      <c r="AD57" s="12">
        <v>2444945.48</v>
      </c>
      <c r="AE57" s="12">
        <v>175267597.02000001</v>
      </c>
      <c r="AF57" s="12">
        <f t="shared" si="23"/>
        <v>177712542.5</v>
      </c>
      <c r="AG57" s="12">
        <f t="shared" si="10"/>
        <v>-4310477.92</v>
      </c>
      <c r="AH57" s="44">
        <f t="shared" si="4"/>
        <v>-854353639.20000005</v>
      </c>
      <c r="AI57" s="44">
        <f t="shared" si="83"/>
        <v>17.21910335316629</v>
      </c>
      <c r="AJ57" s="12">
        <f t="shared" si="11"/>
        <v>-663901993.21000004</v>
      </c>
      <c r="AK57" s="44">
        <f t="shared" si="18"/>
        <v>21.115669342625925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-73916342.24000001</v>
      </c>
      <c r="AO57" s="44">
        <f t="shared" si="13"/>
        <v>70.624857986246141</v>
      </c>
      <c r="AP57" s="12">
        <f t="shared" si="14"/>
        <v>-105277481.39999998</v>
      </c>
      <c r="AQ57" s="44">
        <f t="shared" si="35"/>
        <v>62.798165126413849</v>
      </c>
      <c r="AR57" s="12">
        <f t="shared" si="79"/>
        <v>-306786139.62</v>
      </c>
      <c r="AS57" s="12">
        <f t="shared" si="80"/>
        <v>36.679675107141854</v>
      </c>
      <c r="AT57" s="34" t="e">
        <f>#REF!</f>
        <v>#REF!</v>
      </c>
    </row>
    <row r="58" spans="1:48" s="10" customFormat="1" ht="27" customHeight="1" x14ac:dyDescent="0.3">
      <c r="A58" s="9"/>
      <c r="B58" s="123" t="s">
        <v>3</v>
      </c>
      <c r="C58" s="123"/>
      <c r="D58" s="123"/>
      <c r="E58" s="123"/>
      <c r="F58" s="123"/>
      <c r="G58" s="123"/>
      <c r="H58" s="123"/>
      <c r="I58" s="123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0"/>
        <v>31536396.41</v>
      </c>
      <c r="Q58" s="12">
        <v>31536396.41</v>
      </c>
      <c r="R58" s="12">
        <f t="shared" si="101"/>
        <v>31536396.41</v>
      </c>
      <c r="S58" s="12">
        <v>14687976.27</v>
      </c>
      <c r="T58" s="12">
        <v>14514443.27</v>
      </c>
      <c r="U58" s="12">
        <f t="shared" si="102"/>
        <v>14514443.27</v>
      </c>
      <c r="V58" s="12">
        <v>1421137.09</v>
      </c>
      <c r="W58" s="12"/>
      <c r="X58" s="12"/>
      <c r="Y58" s="12">
        <f t="shared" si="103"/>
        <v>1421137.09</v>
      </c>
      <c r="Z58" s="12">
        <v>1779977.81</v>
      </c>
      <c r="AA58" s="12">
        <v>1797400.58</v>
      </c>
      <c r="AB58" s="12">
        <v>452693.7</v>
      </c>
      <c r="AC58" s="12">
        <v>0</v>
      </c>
      <c r="AD58" s="12">
        <v>0</v>
      </c>
      <c r="AE58" s="12">
        <v>452693.69999999995</v>
      </c>
      <c r="AF58" s="12">
        <f t="shared" si="23"/>
        <v>452693.69999999995</v>
      </c>
      <c r="AG58" s="12">
        <f t="shared" si="10"/>
        <v>0</v>
      </c>
      <c r="AH58" s="44">
        <f t="shared" si="4"/>
        <v>-1327284.1100000001</v>
      </c>
      <c r="AI58" s="44">
        <f t="shared" si="83"/>
        <v>25.432547386644107</v>
      </c>
      <c r="AJ58" s="12">
        <f t="shared" si="11"/>
        <v>-1344706.8800000001</v>
      </c>
      <c r="AK58" s="44">
        <f t="shared" si="18"/>
        <v>25.186021693617121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0</v>
      </c>
      <c r="AO58" s="44">
        <f t="shared" si="13"/>
        <v>99.999999999999986</v>
      </c>
      <c r="AP58" s="12">
        <f t="shared" si="14"/>
        <v>-968443.39000000013</v>
      </c>
      <c r="AQ58" s="44">
        <f t="shared" si="35"/>
        <v>31.85433011251574</v>
      </c>
      <c r="AR58" s="12">
        <f t="shared" si="79"/>
        <v>-76706.730000000098</v>
      </c>
      <c r="AS58" s="12">
        <f t="shared" si="80"/>
        <v>85.510640782819152</v>
      </c>
      <c r="AT58" s="34" t="e">
        <f>#REF!</f>
        <v>#REF!</v>
      </c>
    </row>
    <row r="59" spans="1:48" s="10" customFormat="1" ht="39" customHeight="1" x14ac:dyDescent="0.3">
      <c r="A59" s="9"/>
      <c r="B59" s="123" t="s">
        <v>2</v>
      </c>
      <c r="C59" s="123"/>
      <c r="D59" s="123"/>
      <c r="E59" s="123"/>
      <c r="F59" s="123"/>
      <c r="G59" s="123"/>
      <c r="H59" s="123"/>
      <c r="I59" s="123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0"/>
        <v>18244.099999999999</v>
      </c>
      <c r="Q59" s="12">
        <v>18244.099999999999</v>
      </c>
      <c r="R59" s="12">
        <f t="shared" si="101"/>
        <v>18244.099999999999</v>
      </c>
      <c r="S59" s="12">
        <v>102600.69</v>
      </c>
      <c r="T59" s="12">
        <v>110100.69</v>
      </c>
      <c r="U59" s="12">
        <f t="shared" si="102"/>
        <v>110100.69</v>
      </c>
      <c r="V59" s="12">
        <v>2397.4</v>
      </c>
      <c r="W59" s="12"/>
      <c r="X59" s="12"/>
      <c r="Y59" s="12">
        <f t="shared" si="103"/>
        <v>2397.4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3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-2397.4</v>
      </c>
      <c r="AQ59" s="44">
        <f t="shared" si="35"/>
        <v>0</v>
      </c>
      <c r="AR59" s="12">
        <f t="shared" si="79"/>
        <v>-15145.1</v>
      </c>
      <c r="AS59" s="12">
        <f t="shared" si="80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3"/>
        <v>0</v>
      </c>
      <c r="Z60" s="12">
        <v>0</v>
      </c>
      <c r="AA60" s="12">
        <v>0</v>
      </c>
      <c r="AB60" s="12">
        <v>0</v>
      </c>
      <c r="AC60" s="12">
        <v>-115369.52</v>
      </c>
      <c r="AD60" s="12">
        <v>-37136.089999999997</v>
      </c>
      <c r="AE60" s="12">
        <v>-115369.52</v>
      </c>
      <c r="AF60" s="12">
        <f t="shared" si="23"/>
        <v>-152505.60999999999</v>
      </c>
      <c r="AG60" s="12">
        <f>AD60-AC60</f>
        <v>78233.430000000008</v>
      </c>
      <c r="AH60" s="44">
        <f t="shared" si="4"/>
        <v>-152505.60999999999</v>
      </c>
      <c r="AI60" s="44">
        <v>0</v>
      </c>
      <c r="AJ60" s="12">
        <f t="shared" si="11"/>
        <v>-152505.60999999999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-152505.60999999999</v>
      </c>
      <c r="AO60" s="44">
        <v>0</v>
      </c>
      <c r="AP60" s="12">
        <f>AF60-Y60</f>
        <v>-152505.60999999999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0"/>
        <v>280404</v>
      </c>
      <c r="Q61" s="12">
        <v>280404</v>
      </c>
      <c r="R61" s="12">
        <f t="shared" si="101"/>
        <v>280404</v>
      </c>
      <c r="S61" s="12">
        <v>0</v>
      </c>
      <c r="T61" s="12">
        <v>0.13999999999941792</v>
      </c>
      <c r="U61" s="12">
        <f t="shared" si="102"/>
        <v>0.13999999999941792</v>
      </c>
      <c r="V61" s="12">
        <v>0.14000000000000001</v>
      </c>
      <c r="W61" s="12"/>
      <c r="X61" s="12"/>
      <c r="Y61" s="12">
        <f t="shared" si="103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3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-0.14000000000000001</v>
      </c>
      <c r="AQ61" s="44">
        <f t="shared" si="35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3" t="s">
        <v>0</v>
      </c>
      <c r="C62" s="123"/>
      <c r="D62" s="123"/>
      <c r="E62" s="123"/>
      <c r="F62" s="123"/>
      <c r="G62" s="123"/>
      <c r="H62" s="123"/>
      <c r="I62" s="123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0"/>
        <v>-5497492.0700000003</v>
      </c>
      <c r="Q62" s="12">
        <v>-5497492.0700000003</v>
      </c>
      <c r="R62" s="12">
        <f t="shared" si="101"/>
        <v>-5497492.0700000003</v>
      </c>
      <c r="S62" s="12">
        <v>-698316.82</v>
      </c>
      <c r="T62" s="12">
        <v>-698316.82000000018</v>
      </c>
      <c r="U62" s="12">
        <f t="shared" si="102"/>
        <v>-698316.82000000018</v>
      </c>
      <c r="V62" s="12">
        <v>-631329.92000000004</v>
      </c>
      <c r="W62" s="12"/>
      <c r="X62" s="12"/>
      <c r="Y62" s="12">
        <f t="shared" si="103"/>
        <v>-631329.92000000004</v>
      </c>
      <c r="Z62" s="12">
        <v>0</v>
      </c>
      <c r="AA62" s="12">
        <v>0</v>
      </c>
      <c r="AB62" s="12">
        <v>0</v>
      </c>
      <c r="AC62" s="12">
        <v>54588878.530000001</v>
      </c>
      <c r="AD62" s="12">
        <v>-3293.62</v>
      </c>
      <c r="AE62" s="12">
        <v>-2438337.1899999976</v>
      </c>
      <c r="AF62" s="12">
        <f t="shared" si="23"/>
        <v>-2441630.8099999977</v>
      </c>
      <c r="AG62" s="12">
        <f t="shared" si="10"/>
        <v>-54592172.149999999</v>
      </c>
      <c r="AH62" s="44">
        <f t="shared" si="4"/>
        <v>-2441630.8099999977</v>
      </c>
      <c r="AI62" s="44">
        <v>0</v>
      </c>
      <c r="AJ62" s="12">
        <f t="shared" si="11"/>
        <v>-2441630.8099999977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-2441630.8099999977</v>
      </c>
      <c r="AO62" s="12">
        <v>0</v>
      </c>
      <c r="AP62" s="12">
        <f t="shared" si="14"/>
        <v>-1810300.8899999978</v>
      </c>
      <c r="AQ62" s="44">
        <f t="shared" si="35"/>
        <v>386.74403551157491</v>
      </c>
      <c r="AR62" s="12">
        <f>AF62-M62</f>
        <v>1513111.6500000022</v>
      </c>
      <c r="AS62" s="12">
        <f>IF(M62=0,0,AF62/M62*100)</f>
        <v>61.739312602419062</v>
      </c>
      <c r="AT62" s="34">
        <f>AF62</f>
        <v>-2441630.8099999977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4">J54+J7</f>
        <v>2092393430.8699999</v>
      </c>
      <c r="K63" s="13">
        <f t="shared" si="104"/>
        <v>2071113089.6151345</v>
      </c>
      <c r="L63" s="28">
        <f t="shared" si="104"/>
        <v>881017080.54999995</v>
      </c>
      <c r="M63" s="26">
        <f t="shared" si="104"/>
        <v>871710574.23554313</v>
      </c>
      <c r="N63" s="12">
        <f t="shared" si="104"/>
        <v>2309803775.2699995</v>
      </c>
      <c r="O63" s="12">
        <f t="shared" si="104"/>
        <v>2328450949.6999998</v>
      </c>
      <c r="P63" s="12">
        <f t="shared" si="104"/>
        <v>2327457942.815587</v>
      </c>
      <c r="Q63" s="12">
        <f t="shared" si="104"/>
        <v>2328450949.6999998</v>
      </c>
      <c r="R63" s="12">
        <f t="shared" si="104"/>
        <v>2324234116.085587</v>
      </c>
      <c r="S63" s="12">
        <f t="shared" si="104"/>
        <v>2468054121.4099998</v>
      </c>
      <c r="T63" s="12">
        <f t="shared" si="104"/>
        <v>2473502940.9500003</v>
      </c>
      <c r="U63" s="12">
        <f t="shared" si="104"/>
        <v>2610269494.995842</v>
      </c>
      <c r="V63" s="12">
        <f t="shared" si="104"/>
        <v>480645938.99999994</v>
      </c>
      <c r="W63" s="12"/>
      <c r="X63" s="12">
        <f t="shared" ref="X63:AF63" si="105">X54+X7</f>
        <v>0</v>
      </c>
      <c r="Y63" s="12">
        <f t="shared" si="105"/>
        <v>494490067.19483662</v>
      </c>
      <c r="Z63" s="12">
        <f t="shared" si="105"/>
        <v>2141993785.2600002</v>
      </c>
      <c r="AA63" s="12">
        <f t="shared" si="105"/>
        <v>2230214141.9299998</v>
      </c>
      <c r="AB63" s="12">
        <f t="shared" si="105"/>
        <v>534810321.93000001</v>
      </c>
      <c r="AC63" s="12">
        <f t="shared" si="105"/>
        <v>67309965.700000003</v>
      </c>
      <c r="AD63" s="12">
        <f t="shared" si="105"/>
        <v>23098022.510000002</v>
      </c>
      <c r="AE63" s="12">
        <f t="shared" si="105"/>
        <v>376861260.51000005</v>
      </c>
      <c r="AF63" s="12">
        <f t="shared" si="105"/>
        <v>399959283.01999998</v>
      </c>
      <c r="AG63" s="12">
        <f t="shared" si="10"/>
        <v>-44211943.189999998</v>
      </c>
      <c r="AH63" s="12">
        <f t="shared" si="4"/>
        <v>-1742034502.2400002</v>
      </c>
      <c r="AI63" s="12">
        <f>AF63/Z63*100</f>
        <v>18.672289610375874</v>
      </c>
      <c r="AJ63" s="12">
        <f>AF63-AA63</f>
        <v>-1830254858.9099998</v>
      </c>
      <c r="AK63" s="12">
        <f t="shared" si="18"/>
        <v>17.933671726871939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-134851038.91000003</v>
      </c>
      <c r="AO63" s="12">
        <f t="shared" si="13"/>
        <v>74.78525873933107</v>
      </c>
      <c r="AP63" s="12">
        <f t="shared" si="14"/>
        <v>-94530784.174836636</v>
      </c>
      <c r="AQ63" s="12">
        <f t="shared" si="35"/>
        <v>80.883178359659539</v>
      </c>
      <c r="AR63" s="12">
        <f>AF63-M63</f>
        <v>-471751291.21554315</v>
      </c>
      <c r="AS63" s="12">
        <f>IF(M63=0,0,AF63/M63*100)</f>
        <v>45.882119001567581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74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494490067.19483662</v>
      </c>
      <c r="W65" s="94"/>
      <c r="X65" s="101"/>
      <c r="Y65" s="94"/>
      <c r="Z65" s="94"/>
      <c r="AA65" s="94"/>
      <c r="AB65" s="94">
        <v>1581194711.4100001</v>
      </c>
      <c r="AC65" s="95"/>
      <c r="AD65" s="110"/>
      <c r="AE65" s="112">
        <v>376861260.51000005</v>
      </c>
      <c r="AF65" s="110">
        <v>1229277981.27</v>
      </c>
      <c r="AG65" s="95"/>
      <c r="AJ65" s="89"/>
      <c r="AK65" s="141"/>
      <c r="AL65" s="141"/>
      <c r="AM65" s="141"/>
      <c r="AN65" s="141"/>
      <c r="AO65" s="141"/>
      <c r="AP65" s="141"/>
    </row>
    <row r="66" spans="1:44" s="78" customFormat="1" ht="18" customHeight="1" x14ac:dyDescent="0.3">
      <c r="I66" s="78" t="s">
        <v>77</v>
      </c>
      <c r="O66" s="78" t="s">
        <v>40</v>
      </c>
      <c r="Q66" s="88"/>
      <c r="V66" s="88">
        <f>V63-V10+Y10</f>
        <v>494490067.19483662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2024-03-07T10:58:18Z</cp:lastPrinted>
  <dcterms:created xsi:type="dcterms:W3CDTF">2018-12-30T09:36:16Z</dcterms:created>
  <dcterms:modified xsi:type="dcterms:W3CDTF">2024-03-22T12:53:05Z</dcterms:modified>
</cp:coreProperties>
</file>